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R:\Finantsteenistus\EELARVE OSAKOND\2023\Vormid ja koostamise tingimused\"/>
    </mc:Choice>
  </mc:AlternateContent>
  <xr:revisionPtr revIDLastSave="0" documentId="13_ncr:1_{D18CEE84-1E91-48DA-97BF-5054E72B9BA1}" xr6:coauthVersionLast="45" xr6:coauthVersionMax="47" xr10:uidLastSave="{00000000-0000-0000-0000-000000000000}"/>
  <bookViews>
    <workbookView xWindow="-108" yWindow="-108" windowWidth="30936" windowHeight="16896" xr2:uid="{00000000-000D-0000-FFFF-FFFF00000000}"/>
  </bookViews>
  <sheets>
    <sheet name=" Investeeringud, 2022 objektid" sheetId="25" r:id="rId1"/>
    <sheet name="Investeeringud, uued objektid" sheetId="30" r:id="rId2"/>
  </sheets>
  <externalReferences>
    <externalReference r:id="rId3"/>
    <externalReference r:id="rId4"/>
  </externalReferences>
  <definedNames>
    <definedName name="_xlnm._FilterDatabase" localSheetId="0" hidden="1">' Investeeringud, 2022 objektid'!$B$5:$AD$356</definedName>
    <definedName name="_xlnm._FilterDatabase" localSheetId="1" hidden="1">'Investeeringud, uued objektid'!$C$5:$U$59</definedName>
    <definedName name="a" localSheetId="0">'[1]8 KULUD'!#REF!</definedName>
    <definedName name="a" localSheetId="1">'[1]8 KULUD'!#REF!</definedName>
    <definedName name="a">'[1]8 KULUD'!#REF!</definedName>
    <definedName name="ea" localSheetId="0">OFFSET(job_levels_range,0,0,COUNTA(job_levels_range),1)</definedName>
    <definedName name="ea" localSheetId="1">OFFSET(job_levels_range,0,0,COUNTA(job_levels_range),1)</definedName>
    <definedName name="ea">OFFSET(job_levels_range,0,0,COUNTA(job_levels_range),1)</definedName>
    <definedName name="eaa" localSheetId="0">OFFSET(job_levels_range,0,0,COUNTA(job_levels_range),1)</definedName>
    <definedName name="eaa" localSheetId="1">OFFSET(job_levels_range,0,0,COUNTA(job_levels_range),1)</definedName>
    <definedName name="eaa">OFFSET(job_levels_range,0,0,COUNTA(job_levels_range),1)</definedName>
    <definedName name="ee" localSheetId="0">OFFSET(job_levels_range,0,0,COUNTA(job_levels_range),1)</definedName>
    <definedName name="ee" localSheetId="1">OFFSET(job_levels_range,0,0,COUNTA(job_levels_range),1)</definedName>
    <definedName name="ee">OFFSET(job_levels_range,0,0,COUNTA(job_levels_range),1)</definedName>
    <definedName name="gg" localSheetId="0">OFFSET(job_names_range,0,0,COUNTA(job_names_range),1)</definedName>
    <definedName name="gg" localSheetId="1">OFFSET(job_names_range,0,0,COUNTA(job_names_range),1)</definedName>
    <definedName name="gg">OFFSET(job_names_range,0,0,COUNTA(job_names_range),1)</definedName>
    <definedName name="job_levels" localSheetId="0">OFFSET(job_levels_range,0,0,COUNTA(job_levels_range),1)</definedName>
    <definedName name="job_levels" localSheetId="1">OFFSET(job_levels_range,0,0,COUNTA(job_levels_range),1)</definedName>
    <definedName name="job_levels">OFFSET(job_levels_range,0,0,COUNTA(job_levels_range),1)</definedName>
    <definedName name="job_names" localSheetId="0">OFFSET(job_names_range,0,0,COUNTA(job_names_range),1)</definedName>
    <definedName name="job_names" localSheetId="1">OFFSET(job_names_range,0,0,COUNTA(job_names_range),1)</definedName>
    <definedName name="job_names">OFFSET(job_names_range,0,0,COUNTA(job_names_range),1)</definedName>
    <definedName name="joblevels">'[2]Job Names'!$H$9:$H$35</definedName>
    <definedName name="jobnames">#N/A</definedName>
    <definedName name="language_list">'[2]Job Names'!$E$2:$E$5</definedName>
    <definedName name="Maalist">[2]Maakonnad!$A$1:$A$15</definedName>
    <definedName name="nm" localSheetId="0">OFFSET(job_names_range,0,0,COUNTA(job_names_range),1)</definedName>
    <definedName name="nm" localSheetId="1">OFFSET(job_names_range,0,0,COUNTA(job_names_range),1)</definedName>
    <definedName name="nm">OFFSET(job_names_range,0,0,COUNTA(job_names_range),1)</definedName>
    <definedName name="nn" localSheetId="0">OFFSET(job_names_range,0,0,COUNTA(job_names_range),1)</definedName>
    <definedName name="nn" localSheetId="1">OFFSET(job_names_range,0,0,COUNTA(job_names_range),1)</definedName>
    <definedName name="nn">OFFSET(job_names_range,0,0,COUNTA(job_names_range),1)</definedName>
    <definedName name="ppp" localSheetId="0">OFFSET(job_levels_range,0,0,COUNTA(job_levels_range),1)</definedName>
    <definedName name="ppp" localSheetId="1">OFFSET(job_levels_range,0,0,COUNTA(job_levels_range),1)</definedName>
    <definedName name="ppp">OFFSET(job_levels_range,0,0,COUNTA(job_levels_range),1)</definedName>
    <definedName name="_xlnm.Print_Titles" localSheetId="0">' Investeeringud, 2022 objektid'!$B:$H,' Investeeringud, 2022 objektid'!$5:$5</definedName>
    <definedName name="_xlnm.Print_Titles" localSheetId="1">'Investeeringud, uued objektid'!$C:$I,'Investeeringud, uued objektid'!$5:$5</definedName>
    <definedName name="zJob">'[2]Job Families'!$D$1:$D$481</definedName>
    <definedName name="zLev">'[2]Job Families'!$E$1:$E$481</definedName>
    <definedName name="zPnt">'[2]Job Families'!$F$1:$F$481</definedName>
    <definedName name="zPntH">'[2]Job Families'!$H$1:$H$481</definedName>
    <definedName name="zPntL">'[2]Job Families'!$G$1:$G$481</definedName>
    <definedName name="test" localSheetId="0">OFFSET(job_levels_range,0,0,COUNTA(job_levels_range),1)</definedName>
    <definedName name="test" localSheetId="1">OFFSET(job_levels_range,0,0,COUNTA(job_levels_range),1)</definedName>
    <definedName name="test">OFFSET(job_levels_range,0,0,COUNTA(job_levels_range),1)</definedName>
    <definedName name="test1" localSheetId="0">OFFSET(job_levels_range,0,0,COUNTA(job_levels_range),1)</definedName>
    <definedName name="test1" localSheetId="1">OFFSET(job_levels_range,0,0,COUNTA(job_levels_range),1)</definedName>
    <definedName name="test1">OFFSET(job_levels_range,0,0,COUNTA(job_levels_range),1)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49" i="25" l="1"/>
  <c r="J16" i="25" l="1"/>
  <c r="K15" i="25"/>
  <c r="A6" i="30"/>
  <c r="P356" i="25"/>
  <c r="R356" i="25" s="1"/>
  <c r="P355" i="25"/>
  <c r="R355" i="25" s="1"/>
  <c r="P354" i="25"/>
  <c r="R354" i="25" s="1"/>
  <c r="P353" i="25"/>
  <c r="R353" i="25" s="1"/>
  <c r="P351" i="25"/>
  <c r="R351" i="25" s="1"/>
  <c r="P350" i="25"/>
  <c r="R350" i="25" s="1"/>
  <c r="P349" i="25"/>
  <c r="R349" i="25" s="1"/>
  <c r="P348" i="25"/>
  <c r="R348" i="25" s="1"/>
  <c r="P346" i="25"/>
  <c r="R346" i="25" s="1"/>
  <c r="P345" i="25"/>
  <c r="R345" i="25" s="1"/>
  <c r="P344" i="25"/>
  <c r="R344" i="25" s="1"/>
  <c r="P343" i="25"/>
  <c r="R343" i="25" s="1"/>
  <c r="P342" i="25"/>
  <c r="R342" i="25" s="1"/>
  <c r="P341" i="25"/>
  <c r="R341" i="25" s="1"/>
  <c r="P340" i="25"/>
  <c r="R340" i="25" s="1"/>
  <c r="P339" i="25"/>
  <c r="R339" i="25" s="1"/>
  <c r="P337" i="25"/>
  <c r="R337" i="25" s="1"/>
  <c r="P336" i="25"/>
  <c r="R336" i="25" s="1"/>
  <c r="P335" i="25"/>
  <c r="R335" i="25" s="1"/>
  <c r="P334" i="25"/>
  <c r="R334" i="25" s="1"/>
  <c r="P333" i="25"/>
  <c r="R333" i="25" s="1"/>
  <c r="P331" i="25"/>
  <c r="R331" i="25" s="1"/>
  <c r="P330" i="25"/>
  <c r="R330" i="25" s="1"/>
  <c r="P328" i="25"/>
  <c r="R328" i="25" s="1"/>
  <c r="P327" i="25"/>
  <c r="R327" i="25" s="1"/>
  <c r="P326" i="25"/>
  <c r="R326" i="25" s="1"/>
  <c r="P325" i="25"/>
  <c r="R325" i="25" s="1"/>
  <c r="P324" i="25"/>
  <c r="R324" i="25" s="1"/>
  <c r="P323" i="25"/>
  <c r="R323" i="25" s="1"/>
  <c r="P322" i="25"/>
  <c r="R322" i="25" s="1"/>
  <c r="P321" i="25"/>
  <c r="R321" i="25" s="1"/>
  <c r="P320" i="25"/>
  <c r="R320" i="25" s="1"/>
  <c r="P319" i="25"/>
  <c r="R319" i="25" s="1"/>
  <c r="P318" i="25"/>
  <c r="R318" i="25" s="1"/>
  <c r="P316" i="25"/>
  <c r="R316" i="25" s="1"/>
  <c r="P315" i="25"/>
  <c r="R315" i="25" s="1"/>
  <c r="P314" i="25"/>
  <c r="R314" i="25" s="1"/>
  <c r="P313" i="25"/>
  <c r="R313" i="25" s="1"/>
  <c r="P312" i="25"/>
  <c r="R312" i="25" s="1"/>
  <c r="P311" i="25"/>
  <c r="R311" i="25" s="1"/>
  <c r="P310" i="25"/>
  <c r="R310" i="25" s="1"/>
  <c r="P309" i="25"/>
  <c r="R309" i="25" s="1"/>
  <c r="P308" i="25"/>
  <c r="R308" i="25" s="1"/>
  <c r="P307" i="25"/>
  <c r="R307" i="25" s="1"/>
  <c r="P304" i="25"/>
  <c r="R304" i="25" s="1"/>
  <c r="P303" i="25"/>
  <c r="R303" i="25" s="1"/>
  <c r="P302" i="25"/>
  <c r="R302" i="25" s="1"/>
  <c r="P301" i="25"/>
  <c r="R301" i="25" s="1"/>
  <c r="P300" i="25"/>
  <c r="R300" i="25" s="1"/>
  <c r="P297" i="25"/>
  <c r="R297" i="25" s="1"/>
  <c r="P296" i="25"/>
  <c r="R296" i="25" s="1"/>
  <c r="P295" i="25"/>
  <c r="R295" i="25" s="1"/>
  <c r="P294" i="25"/>
  <c r="R294" i="25" s="1"/>
  <c r="P291" i="25"/>
  <c r="R291" i="25" s="1"/>
  <c r="P290" i="25"/>
  <c r="R290" i="25" s="1"/>
  <c r="P289" i="25"/>
  <c r="R289" i="25" s="1"/>
  <c r="P288" i="25"/>
  <c r="R288" i="25" s="1"/>
  <c r="P286" i="25"/>
  <c r="R286" i="25" s="1"/>
  <c r="P285" i="25"/>
  <c r="R285" i="25" s="1"/>
  <c r="P284" i="25"/>
  <c r="R284" i="25" s="1"/>
  <c r="P283" i="25"/>
  <c r="R283" i="25" s="1"/>
  <c r="P281" i="25"/>
  <c r="R281" i="25" s="1"/>
  <c r="P280" i="25"/>
  <c r="R280" i="25" s="1"/>
  <c r="P279" i="25"/>
  <c r="R279" i="25" s="1"/>
  <c r="P278" i="25"/>
  <c r="R278" i="25" s="1"/>
  <c r="P277" i="25"/>
  <c r="R277" i="25" s="1"/>
  <c r="P276" i="25"/>
  <c r="R276" i="25" s="1"/>
  <c r="P275" i="25"/>
  <c r="R275" i="25" s="1"/>
  <c r="P272" i="25"/>
  <c r="R272" i="25" s="1"/>
  <c r="P271" i="25"/>
  <c r="R271" i="25" s="1"/>
  <c r="P269" i="25"/>
  <c r="R269" i="25" s="1"/>
  <c r="P266" i="25"/>
  <c r="R266" i="25" s="1"/>
  <c r="P265" i="25"/>
  <c r="R265" i="25" s="1"/>
  <c r="P264" i="25"/>
  <c r="R264" i="25" s="1"/>
  <c r="P263" i="25"/>
  <c r="R263" i="25" s="1"/>
  <c r="P262" i="25"/>
  <c r="R262" i="25" s="1"/>
  <c r="P260" i="25"/>
  <c r="R260" i="25" s="1"/>
  <c r="P259" i="25"/>
  <c r="R259" i="25" s="1"/>
  <c r="P258" i="25"/>
  <c r="R258" i="25" s="1"/>
  <c r="P252" i="25"/>
  <c r="R252" i="25" s="1"/>
  <c r="P251" i="25"/>
  <c r="R251" i="25" s="1"/>
  <c r="P250" i="25"/>
  <c r="R250" i="25" s="1"/>
  <c r="P249" i="25"/>
  <c r="R249" i="25" s="1"/>
  <c r="P248" i="25"/>
  <c r="R248" i="25" s="1"/>
  <c r="P247" i="25"/>
  <c r="R247" i="25" s="1"/>
  <c r="P246" i="25"/>
  <c r="R246" i="25" s="1"/>
  <c r="P245" i="25"/>
  <c r="R245" i="25" s="1"/>
  <c r="P244" i="25"/>
  <c r="R244" i="25" s="1"/>
  <c r="P243" i="25"/>
  <c r="R243" i="25" s="1"/>
  <c r="P240" i="25"/>
  <c r="R240" i="25" s="1"/>
  <c r="P239" i="25"/>
  <c r="R239" i="25" s="1"/>
  <c r="P238" i="25"/>
  <c r="R238" i="25" s="1"/>
  <c r="P235" i="25"/>
  <c r="R235" i="25" s="1"/>
  <c r="P233" i="25"/>
  <c r="R233" i="25" s="1"/>
  <c r="P230" i="25"/>
  <c r="R230" i="25" s="1"/>
  <c r="P229" i="25"/>
  <c r="R229" i="25" s="1"/>
  <c r="P228" i="25"/>
  <c r="R228" i="25" s="1"/>
  <c r="P226" i="25"/>
  <c r="R226" i="25" s="1"/>
  <c r="P225" i="25"/>
  <c r="R225" i="25" s="1"/>
  <c r="P223" i="25"/>
  <c r="R223" i="25" s="1"/>
  <c r="P222" i="25"/>
  <c r="R222" i="25" s="1"/>
  <c r="P220" i="25"/>
  <c r="R220" i="25" s="1"/>
  <c r="P219" i="25"/>
  <c r="R219" i="25" s="1"/>
  <c r="P216" i="25"/>
  <c r="R216" i="25" s="1"/>
  <c r="P207" i="25"/>
  <c r="R207" i="25" s="1"/>
  <c r="P206" i="25"/>
  <c r="R206" i="25" s="1"/>
  <c r="P205" i="25"/>
  <c r="R205" i="25" s="1"/>
  <c r="P204" i="25"/>
  <c r="R204" i="25" s="1"/>
  <c r="P203" i="25"/>
  <c r="R203" i="25" s="1"/>
  <c r="P202" i="25"/>
  <c r="R202" i="25" s="1"/>
  <c r="P201" i="25"/>
  <c r="R201" i="25" s="1"/>
  <c r="P200" i="25"/>
  <c r="R200" i="25" s="1"/>
  <c r="P199" i="25"/>
  <c r="R199" i="25" s="1"/>
  <c r="P196" i="25"/>
  <c r="R196" i="25" s="1"/>
  <c r="P195" i="25"/>
  <c r="R195" i="25" s="1"/>
  <c r="P194" i="25"/>
  <c r="R194" i="25" s="1"/>
  <c r="P192" i="25"/>
  <c r="R192" i="25" s="1"/>
  <c r="P191" i="25"/>
  <c r="R191" i="25" s="1"/>
  <c r="P190" i="25"/>
  <c r="R190" i="25" s="1"/>
  <c r="P187" i="25"/>
  <c r="R187" i="25" s="1"/>
  <c r="P186" i="25"/>
  <c r="R186" i="25" s="1"/>
  <c r="P185" i="25"/>
  <c r="R185" i="25" s="1"/>
  <c r="P183" i="25"/>
  <c r="R183" i="25" s="1"/>
  <c r="P182" i="25"/>
  <c r="R182" i="25" s="1"/>
  <c r="P181" i="25"/>
  <c r="R181" i="25" s="1"/>
  <c r="P175" i="25"/>
  <c r="R175" i="25" s="1"/>
  <c r="P174" i="25"/>
  <c r="R174" i="25" s="1"/>
  <c r="P172" i="25"/>
  <c r="R172" i="25" s="1"/>
  <c r="P171" i="25"/>
  <c r="R171" i="25" s="1"/>
  <c r="P164" i="25"/>
  <c r="R164" i="25" s="1"/>
  <c r="P163" i="25"/>
  <c r="R163" i="25" s="1"/>
  <c r="P162" i="25"/>
  <c r="R162" i="25" s="1"/>
  <c r="P161" i="25"/>
  <c r="R161" i="25" s="1"/>
  <c r="P159" i="25"/>
  <c r="R159" i="25" s="1"/>
  <c r="P158" i="25"/>
  <c r="R158" i="25" s="1"/>
  <c r="P157" i="25"/>
  <c r="R157" i="25" s="1"/>
  <c r="P156" i="25"/>
  <c r="R156" i="25" s="1"/>
  <c r="P155" i="25"/>
  <c r="R155" i="25" s="1"/>
  <c r="P154" i="25"/>
  <c r="R154" i="25" s="1"/>
  <c r="P152" i="25"/>
  <c r="R152" i="25" s="1"/>
  <c r="P151" i="25"/>
  <c r="R151" i="25" s="1"/>
  <c r="P150" i="25"/>
  <c r="R150" i="25" s="1"/>
  <c r="P149" i="25"/>
  <c r="R149" i="25" s="1"/>
  <c r="P148" i="25"/>
  <c r="R148" i="25" s="1"/>
  <c r="P145" i="25"/>
  <c r="R145" i="25" s="1"/>
  <c r="P144" i="25"/>
  <c r="R144" i="25" s="1"/>
  <c r="P143" i="25"/>
  <c r="R143" i="25" s="1"/>
  <c r="P142" i="25"/>
  <c r="R142" i="25" s="1"/>
  <c r="P141" i="25"/>
  <c r="R141" i="25" s="1"/>
  <c r="P140" i="25"/>
  <c r="R140" i="25" s="1"/>
  <c r="P139" i="25"/>
  <c r="R139" i="25" s="1"/>
  <c r="P138" i="25"/>
  <c r="R138" i="25" s="1"/>
  <c r="P137" i="25"/>
  <c r="R137" i="25" s="1"/>
  <c r="P136" i="25"/>
  <c r="R136" i="25" s="1"/>
  <c r="P135" i="25"/>
  <c r="R135" i="25" s="1"/>
  <c r="P134" i="25"/>
  <c r="R134" i="25" s="1"/>
  <c r="P133" i="25"/>
  <c r="R133" i="25" s="1"/>
  <c r="P132" i="25"/>
  <c r="R132" i="25" s="1"/>
  <c r="P131" i="25"/>
  <c r="R131" i="25" s="1"/>
  <c r="P128" i="25"/>
  <c r="R128" i="25" s="1"/>
  <c r="P126" i="25"/>
  <c r="R126" i="25" s="1"/>
  <c r="P125" i="25"/>
  <c r="R125" i="25" s="1"/>
  <c r="P123" i="25"/>
  <c r="R123" i="25" s="1"/>
  <c r="P122" i="25"/>
  <c r="R122" i="25" s="1"/>
  <c r="P121" i="25"/>
  <c r="R121" i="25" s="1"/>
  <c r="P120" i="25"/>
  <c r="R120" i="25" s="1"/>
  <c r="P119" i="25"/>
  <c r="R119" i="25" s="1"/>
  <c r="P118" i="25"/>
  <c r="R118" i="25" s="1"/>
  <c r="P117" i="25"/>
  <c r="R117" i="25" s="1"/>
  <c r="P116" i="25"/>
  <c r="R116" i="25" s="1"/>
  <c r="P115" i="25"/>
  <c r="R115" i="25" s="1"/>
  <c r="P114" i="25"/>
  <c r="R114" i="25" s="1"/>
  <c r="P113" i="25"/>
  <c r="R113" i="25" s="1"/>
  <c r="P111" i="25"/>
  <c r="R111" i="25" s="1"/>
  <c r="P110" i="25"/>
  <c r="R110" i="25" s="1"/>
  <c r="P108" i="25"/>
  <c r="R108" i="25" s="1"/>
  <c r="P107" i="25"/>
  <c r="R107" i="25" s="1"/>
  <c r="P106" i="25"/>
  <c r="R106" i="25" s="1"/>
  <c r="P105" i="25"/>
  <c r="R105" i="25" s="1"/>
  <c r="P104" i="25"/>
  <c r="R104" i="25" s="1"/>
  <c r="P103" i="25"/>
  <c r="R103" i="25" s="1"/>
  <c r="P101" i="25"/>
  <c r="R101" i="25" s="1"/>
  <c r="P100" i="25"/>
  <c r="R100" i="25" s="1"/>
  <c r="P99" i="25"/>
  <c r="R99" i="25" s="1"/>
  <c r="P98" i="25"/>
  <c r="R98" i="25" s="1"/>
  <c r="P96" i="25"/>
  <c r="R96" i="25" s="1"/>
  <c r="P95" i="25"/>
  <c r="R95" i="25" s="1"/>
  <c r="P93" i="25"/>
  <c r="R93" i="25" s="1"/>
  <c r="P92" i="25"/>
  <c r="R92" i="25" s="1"/>
  <c r="P91" i="25"/>
  <c r="R91" i="25" s="1"/>
  <c r="P90" i="25"/>
  <c r="R90" i="25" s="1"/>
  <c r="P89" i="25"/>
  <c r="R89" i="25" s="1"/>
  <c r="P87" i="25"/>
  <c r="R87" i="25" s="1"/>
  <c r="P86" i="25"/>
  <c r="R86" i="25" s="1"/>
  <c r="P85" i="25"/>
  <c r="R85" i="25" s="1"/>
  <c r="P84" i="25"/>
  <c r="R84" i="25" s="1"/>
  <c r="P83" i="25"/>
  <c r="R83" i="25" s="1"/>
  <c r="P82" i="25"/>
  <c r="R82" i="25" s="1"/>
  <c r="P80" i="25"/>
  <c r="R80" i="25" s="1"/>
  <c r="P79" i="25"/>
  <c r="R79" i="25" s="1"/>
  <c r="P78" i="25"/>
  <c r="R78" i="25" s="1"/>
  <c r="P77" i="25"/>
  <c r="R77" i="25" s="1"/>
  <c r="P72" i="25"/>
  <c r="R72" i="25" s="1"/>
  <c r="P71" i="25"/>
  <c r="R71" i="25" s="1"/>
  <c r="P70" i="25"/>
  <c r="R70" i="25" s="1"/>
  <c r="P69" i="25"/>
  <c r="R69" i="25" s="1"/>
  <c r="P68" i="25"/>
  <c r="R68" i="25" s="1"/>
  <c r="P67" i="25"/>
  <c r="R67" i="25" s="1"/>
  <c r="P66" i="25"/>
  <c r="R66" i="25" s="1"/>
  <c r="P65" i="25"/>
  <c r="R65" i="25" s="1"/>
  <c r="P64" i="25"/>
  <c r="R64" i="25" s="1"/>
  <c r="P63" i="25"/>
  <c r="R63" i="25" s="1"/>
  <c r="P62" i="25"/>
  <c r="R62" i="25" s="1"/>
  <c r="P61" i="25"/>
  <c r="R61" i="25" s="1"/>
  <c r="P60" i="25"/>
  <c r="R60" i="25" s="1"/>
  <c r="P59" i="25"/>
  <c r="R59" i="25" s="1"/>
  <c r="P58" i="25"/>
  <c r="R58" i="25" s="1"/>
  <c r="P57" i="25"/>
  <c r="R57" i="25" s="1"/>
  <c r="P56" i="25"/>
  <c r="R56" i="25" s="1"/>
  <c r="P55" i="25"/>
  <c r="R55" i="25" s="1"/>
  <c r="P54" i="25"/>
  <c r="R54" i="25" s="1"/>
  <c r="P53" i="25"/>
  <c r="R53" i="25" s="1"/>
  <c r="P52" i="25"/>
  <c r="R52" i="25" s="1"/>
  <c r="P51" i="25"/>
  <c r="R51" i="25" s="1"/>
  <c r="P50" i="25"/>
  <c r="R50" i="25" s="1"/>
  <c r="P48" i="25"/>
  <c r="R48" i="25" s="1"/>
  <c r="P47" i="25"/>
  <c r="R47" i="25" s="1"/>
  <c r="P45" i="25"/>
  <c r="R45" i="25" s="1"/>
  <c r="P44" i="25"/>
  <c r="R44" i="25" s="1"/>
  <c r="P35" i="25"/>
  <c r="R35" i="25" s="1"/>
  <c r="P34" i="25"/>
  <c r="R34" i="25" s="1"/>
  <c r="P33" i="25"/>
  <c r="R33" i="25" s="1"/>
  <c r="P32" i="25"/>
  <c r="R32" i="25" s="1"/>
  <c r="P30" i="25"/>
  <c r="R30" i="25" s="1"/>
  <c r="P29" i="25"/>
  <c r="R29" i="25" s="1"/>
  <c r="P28" i="25"/>
  <c r="R28" i="25" s="1"/>
  <c r="P27" i="25"/>
  <c r="R27" i="25" s="1"/>
  <c r="P25" i="25"/>
  <c r="R25" i="25" s="1"/>
  <c r="P24" i="25"/>
  <c r="R24" i="25" s="1"/>
  <c r="P23" i="25"/>
  <c r="R23" i="25" s="1"/>
  <c r="P21" i="25"/>
  <c r="R21" i="25" s="1"/>
  <c r="P20" i="25"/>
  <c r="R20" i="25" s="1"/>
  <c r="P19" i="25"/>
  <c r="R19" i="25" s="1"/>
  <c r="P17" i="25"/>
  <c r="R17" i="25" s="1"/>
  <c r="P16" i="25"/>
  <c r="R16" i="25" s="1"/>
  <c r="P13" i="25"/>
  <c r="R13" i="25" s="1"/>
  <c r="P2" i="30" l="1"/>
  <c r="Q2" i="30"/>
  <c r="O347" i="25"/>
  <c r="N347" i="25"/>
  <c r="O287" i="25"/>
  <c r="O197" i="25"/>
  <c r="T10" i="25"/>
  <c r="U10" i="25"/>
  <c r="V10" i="25"/>
  <c r="W10" i="25"/>
  <c r="X10" i="25"/>
  <c r="Y10" i="25"/>
  <c r="Z10" i="25"/>
  <c r="S10" i="25"/>
  <c r="N10" i="25"/>
  <c r="O10" i="25"/>
  <c r="M10" i="25"/>
  <c r="N2" i="30" l="1"/>
  <c r="P10" i="25"/>
  <c r="R10" i="25" s="1"/>
  <c r="O227" i="25"/>
  <c r="M224" i="25"/>
  <c r="O224" i="25"/>
  <c r="K10" i="25"/>
  <c r="I10" i="25"/>
  <c r="H10" i="25"/>
  <c r="I147" i="25" l="1"/>
  <c r="N329" i="25"/>
  <c r="O329" i="25"/>
  <c r="O317" i="25"/>
  <c r="O298" i="25"/>
  <c r="N293" i="25"/>
  <c r="O293" i="25"/>
  <c r="O282" i="25"/>
  <c r="O273" i="25"/>
  <c r="O256" i="25"/>
  <c r="O257" i="25"/>
  <c r="O231" i="25"/>
  <c r="O232" i="25" s="1"/>
  <c r="O221" i="25"/>
  <c r="O211" i="25" s="1"/>
  <c r="O212" i="25"/>
  <c r="O213" i="25"/>
  <c r="O214" i="25"/>
  <c r="N189" i="25"/>
  <c r="K189" i="25"/>
  <c r="I189" i="25"/>
  <c r="T193" i="25"/>
  <c r="T189" i="25" s="1"/>
  <c r="U193" i="25"/>
  <c r="U189" i="25" s="1"/>
  <c r="V193" i="25"/>
  <c r="V189" i="25" s="1"/>
  <c r="W193" i="25"/>
  <c r="W189" i="25" s="1"/>
  <c r="X193" i="25"/>
  <c r="X189" i="25" s="1"/>
  <c r="Y193" i="25"/>
  <c r="Y189" i="25" s="1"/>
  <c r="Z193" i="25"/>
  <c r="Z189" i="25" s="1"/>
  <c r="S193" i="25"/>
  <c r="S189" i="25" s="1"/>
  <c r="O193" i="25"/>
  <c r="O189" i="25" s="1"/>
  <c r="M193" i="25"/>
  <c r="J195" i="25"/>
  <c r="L195" i="25" s="1"/>
  <c r="J196" i="25"/>
  <c r="L196" i="25" s="1"/>
  <c r="H193" i="25"/>
  <c r="H189" i="25" s="1"/>
  <c r="J194" i="25"/>
  <c r="L194" i="25" s="1"/>
  <c r="O178" i="25"/>
  <c r="O173" i="25"/>
  <c r="O166" i="25" s="1"/>
  <c r="O160" i="25"/>
  <c r="O153" i="25"/>
  <c r="N153" i="25"/>
  <c r="M153" i="25"/>
  <c r="J155" i="25"/>
  <c r="L155" i="25" s="1"/>
  <c r="H154" i="25"/>
  <c r="H153" i="25" s="1"/>
  <c r="O146" i="25"/>
  <c r="P146" i="25" s="1"/>
  <c r="R146" i="25" s="1"/>
  <c r="O130" i="25"/>
  <c r="O112" i="25"/>
  <c r="O102" i="25"/>
  <c r="O97" i="25" s="1"/>
  <c r="O88" i="25"/>
  <c r="O81" i="25"/>
  <c r="O40" i="25"/>
  <c r="O41" i="25"/>
  <c r="O11" i="25" s="1"/>
  <c r="O42" i="25"/>
  <c r="O9" i="25" s="1"/>
  <c r="O49" i="25"/>
  <c r="O46" i="25"/>
  <c r="O43" i="25"/>
  <c r="O38" i="25"/>
  <c r="O36" i="25"/>
  <c r="P36" i="25" s="1"/>
  <c r="R36" i="25" s="1"/>
  <c r="O31" i="25"/>
  <c r="O18" i="25"/>
  <c r="O15" i="25"/>
  <c r="O147" i="25" l="1"/>
  <c r="O127" i="25"/>
  <c r="J189" i="25"/>
  <c r="O74" i="25"/>
  <c r="P153" i="25"/>
  <c r="R153" i="25" s="1"/>
  <c r="O255" i="25"/>
  <c r="P193" i="25"/>
  <c r="R193" i="25" s="1"/>
  <c r="O8" i="25"/>
  <c r="O292" i="25"/>
  <c r="O179" i="25"/>
  <c r="O176" i="25"/>
  <c r="O210" i="25"/>
  <c r="O209" i="25"/>
  <c r="O208" i="25" s="1"/>
  <c r="O39" i="25"/>
  <c r="O37" i="25" s="1"/>
  <c r="O14" i="25" s="1"/>
  <c r="J154" i="25"/>
  <c r="L154" i="25" s="1"/>
  <c r="O6" i="25" l="1"/>
  <c r="S352" i="25" l="1"/>
  <c r="T352" i="25"/>
  <c r="U352" i="25"/>
  <c r="V352" i="25"/>
  <c r="W352" i="25"/>
  <c r="X352" i="25"/>
  <c r="Y352" i="25"/>
  <c r="Z352" i="25"/>
  <c r="X332" i="25"/>
  <c r="S298" i="25"/>
  <c r="S317" i="25"/>
  <c r="T317" i="25"/>
  <c r="U317" i="25"/>
  <c r="V317" i="25"/>
  <c r="W317" i="25"/>
  <c r="X317" i="25"/>
  <c r="Y317" i="25"/>
  <c r="Z317" i="25"/>
  <c r="W298" i="25"/>
  <c r="X298" i="25"/>
  <c r="Y298" i="25"/>
  <c r="Z298" i="25"/>
  <c r="W287" i="25"/>
  <c r="X287" i="25"/>
  <c r="Y287" i="25"/>
  <c r="Z287" i="25"/>
  <c r="W282" i="25"/>
  <c r="X282" i="25"/>
  <c r="Y282" i="25"/>
  <c r="Z282" i="25"/>
  <c r="V273" i="25"/>
  <c r="W273" i="25"/>
  <c r="X273" i="25"/>
  <c r="Y273" i="25"/>
  <c r="Z273" i="25"/>
  <c r="S256" i="25"/>
  <c r="T256" i="25"/>
  <c r="U256" i="25"/>
  <c r="V256" i="25"/>
  <c r="W256" i="25"/>
  <c r="X256" i="25"/>
  <c r="Y256" i="25"/>
  <c r="Z256" i="25"/>
  <c r="S257" i="25"/>
  <c r="T257" i="25"/>
  <c r="U257" i="25"/>
  <c r="V257" i="25"/>
  <c r="W257" i="25"/>
  <c r="X257" i="25"/>
  <c r="Y257" i="25"/>
  <c r="Z257" i="25"/>
  <c r="W231" i="25"/>
  <c r="W232" i="25" s="1"/>
  <c r="X231" i="25"/>
  <c r="Y231" i="25"/>
  <c r="Y232" i="25" s="1"/>
  <c r="Z231" i="25"/>
  <c r="Z232" i="25" s="1"/>
  <c r="X232" i="25"/>
  <c r="W211" i="25"/>
  <c r="X211" i="25"/>
  <c r="Y211" i="25"/>
  <c r="Z211" i="25"/>
  <c r="W212" i="25"/>
  <c r="X212" i="25"/>
  <c r="Y212" i="25"/>
  <c r="Z212" i="25"/>
  <c r="W213" i="25"/>
  <c r="X213" i="25"/>
  <c r="Y213" i="25"/>
  <c r="Z213" i="25"/>
  <c r="W214" i="25"/>
  <c r="X214" i="25"/>
  <c r="Y214" i="25"/>
  <c r="Z214" i="25"/>
  <c r="W197" i="25"/>
  <c r="X197" i="25"/>
  <c r="Y197" i="25"/>
  <c r="Z197" i="25"/>
  <c r="Z166" i="25"/>
  <c r="W127" i="25"/>
  <c r="X127" i="25"/>
  <c r="Y127" i="25"/>
  <c r="Z127" i="25"/>
  <c r="W112" i="25"/>
  <c r="X112" i="25"/>
  <c r="Y112" i="25"/>
  <c r="Z112" i="25"/>
  <c r="V112" i="25"/>
  <c r="S109" i="25"/>
  <c r="T109" i="25"/>
  <c r="U109" i="25"/>
  <c r="V109" i="25"/>
  <c r="W109" i="25"/>
  <c r="X109" i="25"/>
  <c r="Y109" i="25"/>
  <c r="Z109" i="25"/>
  <c r="N109" i="25"/>
  <c r="P109" i="25" s="1"/>
  <c r="R109" i="25" s="1"/>
  <c r="W102" i="25"/>
  <c r="X102" i="25"/>
  <c r="Y102" i="25"/>
  <c r="Z102" i="25"/>
  <c r="W81" i="25"/>
  <c r="X81" i="25"/>
  <c r="Y81" i="25"/>
  <c r="Z81" i="25"/>
  <c r="W40" i="25"/>
  <c r="Y40" i="25"/>
  <c r="Z40" i="25"/>
  <c r="W41" i="25"/>
  <c r="X41" i="25"/>
  <c r="Y41" i="25"/>
  <c r="Z41" i="25"/>
  <c r="W42" i="25"/>
  <c r="W9" i="25" s="1"/>
  <c r="X42" i="25"/>
  <c r="X9" i="25" s="1"/>
  <c r="Y42" i="25"/>
  <c r="Z42" i="25"/>
  <c r="N257" i="25"/>
  <c r="N256" i="25"/>
  <c r="I256" i="25"/>
  <c r="I257" i="25"/>
  <c r="H257" i="25"/>
  <c r="N352" i="25"/>
  <c r="S332" i="25"/>
  <c r="N317" i="25"/>
  <c r="I317" i="25"/>
  <c r="T298" i="25"/>
  <c r="U298" i="25"/>
  <c r="V298" i="25"/>
  <c r="N298" i="25"/>
  <c r="I298" i="25"/>
  <c r="S293" i="25"/>
  <c r="I293" i="25"/>
  <c r="S287" i="25"/>
  <c r="T287" i="25"/>
  <c r="U287" i="25"/>
  <c r="V287" i="25"/>
  <c r="N287" i="25"/>
  <c r="S282" i="25"/>
  <c r="T282" i="25"/>
  <c r="U282" i="25"/>
  <c r="V282" i="25"/>
  <c r="N282" i="25"/>
  <c r="I282" i="25"/>
  <c r="H282" i="25"/>
  <c r="S231" i="25"/>
  <c r="S232" i="25" s="1"/>
  <c r="T231" i="25"/>
  <c r="T232" i="25" s="1"/>
  <c r="U231" i="25"/>
  <c r="U232" i="25" s="1"/>
  <c r="V231" i="25"/>
  <c r="V232" i="25" s="1"/>
  <c r="N231" i="25"/>
  <c r="N232" i="25" s="1"/>
  <c r="S227" i="25"/>
  <c r="S211" i="25" s="1"/>
  <c r="N224" i="25"/>
  <c r="T211" i="25"/>
  <c r="U211" i="25"/>
  <c r="S212" i="25"/>
  <c r="T212" i="25"/>
  <c r="U212" i="25"/>
  <c r="V212" i="25"/>
  <c r="S213" i="25"/>
  <c r="T213" i="25"/>
  <c r="U213" i="25"/>
  <c r="V213" i="25"/>
  <c r="S214" i="25"/>
  <c r="T214" i="25"/>
  <c r="U214" i="25"/>
  <c r="V214" i="25"/>
  <c r="N214" i="25"/>
  <c r="N213" i="25"/>
  <c r="N212" i="25"/>
  <c r="S197" i="25"/>
  <c r="T197" i="25"/>
  <c r="U197" i="25"/>
  <c r="V197" i="25"/>
  <c r="N197" i="25"/>
  <c r="N176" i="25"/>
  <c r="N173" i="25"/>
  <c r="S166" i="25"/>
  <c r="T166" i="25"/>
  <c r="U166" i="25"/>
  <c r="V166" i="25"/>
  <c r="N130" i="25"/>
  <c r="N127" i="25" s="1"/>
  <c r="S127" i="25"/>
  <c r="T127" i="25"/>
  <c r="U127" i="25"/>
  <c r="V127" i="25"/>
  <c r="S112" i="25"/>
  <c r="T112" i="25"/>
  <c r="U112" i="25"/>
  <c r="N112" i="25"/>
  <c r="S102" i="25"/>
  <c r="T102" i="25"/>
  <c r="U102" i="25"/>
  <c r="V102" i="25"/>
  <c r="N102" i="25"/>
  <c r="S75" i="25"/>
  <c r="T75" i="25"/>
  <c r="U75" i="25"/>
  <c r="V75" i="25"/>
  <c r="N75" i="25"/>
  <c r="I75" i="25"/>
  <c r="T40" i="25"/>
  <c r="V40" i="25"/>
  <c r="S41" i="25"/>
  <c r="T41" i="25"/>
  <c r="U41" i="25"/>
  <c r="V41" i="25"/>
  <c r="S42" i="25"/>
  <c r="T42" i="25"/>
  <c r="T9" i="25" s="1"/>
  <c r="U42" i="25"/>
  <c r="U9" i="25" s="1"/>
  <c r="V42" i="25"/>
  <c r="V9" i="25" s="1"/>
  <c r="N42" i="25"/>
  <c r="N9" i="25" s="1"/>
  <c r="N41" i="25"/>
  <c r="N40" i="25"/>
  <c r="S18" i="25"/>
  <c r="T18" i="25"/>
  <c r="U18" i="25"/>
  <c r="N18" i="25"/>
  <c r="S15" i="25"/>
  <c r="T15" i="25"/>
  <c r="U15" i="25"/>
  <c r="N15" i="25"/>
  <c r="N170" i="25"/>
  <c r="P170" i="25" s="1"/>
  <c r="R170" i="25" s="1"/>
  <c r="N167" i="25"/>
  <c r="N160" i="25"/>
  <c r="N147" i="25" s="1"/>
  <c r="I130" i="25"/>
  <c r="I127" i="25" s="1"/>
  <c r="N97" i="25"/>
  <c r="N94" i="25"/>
  <c r="H94" i="25"/>
  <c r="J94" i="25" s="1"/>
  <c r="L94" i="25" s="1"/>
  <c r="N81" i="25"/>
  <c r="N49" i="25"/>
  <c r="I49" i="25"/>
  <c r="H49" i="25"/>
  <c r="N31" i="25"/>
  <c r="P31" i="25" s="1"/>
  <c r="R31" i="25" s="1"/>
  <c r="I31" i="25"/>
  <c r="J31" i="25" s="1"/>
  <c r="L31" i="25" s="1"/>
  <c r="K18" i="25"/>
  <c r="H18" i="25"/>
  <c r="J18" i="25" s="1"/>
  <c r="H15" i="25"/>
  <c r="J15" i="25" s="1"/>
  <c r="L15" i="25" s="1"/>
  <c r="J311" i="25"/>
  <c r="L311" i="25" s="1"/>
  <c r="J312" i="25"/>
  <c r="L312" i="25" s="1"/>
  <c r="J313" i="25"/>
  <c r="L313" i="25" s="1"/>
  <c r="J314" i="25"/>
  <c r="L314" i="25" s="1"/>
  <c r="J315" i="25"/>
  <c r="L315" i="25" s="1"/>
  <c r="J324" i="25"/>
  <c r="L324" i="25" s="1"/>
  <c r="J350" i="25"/>
  <c r="L350" i="25" s="1"/>
  <c r="J351" i="25"/>
  <c r="L351" i="25" s="1"/>
  <c r="J353" i="25"/>
  <c r="L353" i="25" s="1"/>
  <c r="J354" i="25"/>
  <c r="L354" i="25" s="1"/>
  <c r="J355" i="25"/>
  <c r="L355" i="25" s="1"/>
  <c r="I352" i="25"/>
  <c r="H352" i="25"/>
  <c r="I347" i="25"/>
  <c r="I332" i="25"/>
  <c r="I329" i="25"/>
  <c r="J238" i="25"/>
  <c r="L238" i="25" s="1"/>
  <c r="J246" i="25"/>
  <c r="L246" i="25" s="1"/>
  <c r="J248" i="25"/>
  <c r="L248" i="25" s="1"/>
  <c r="J251" i="25"/>
  <c r="L251" i="25" s="1"/>
  <c r="I212" i="25"/>
  <c r="H212" i="25"/>
  <c r="I214" i="25"/>
  <c r="H214" i="25"/>
  <c r="J259" i="25"/>
  <c r="L259" i="25" s="1"/>
  <c r="J260" i="25"/>
  <c r="L260" i="25" s="1"/>
  <c r="J284" i="25"/>
  <c r="L284" i="25" s="1"/>
  <c r="I258" i="25"/>
  <c r="J258" i="25" s="1"/>
  <c r="L258" i="25" s="1"/>
  <c r="J225" i="25"/>
  <c r="L225" i="25" s="1"/>
  <c r="J226" i="25"/>
  <c r="L226" i="25" s="1"/>
  <c r="I224" i="25"/>
  <c r="I211" i="25" s="1"/>
  <c r="I209" i="25" s="1"/>
  <c r="H224" i="25"/>
  <c r="I213" i="25"/>
  <c r="J204" i="25"/>
  <c r="L204" i="25" s="1"/>
  <c r="J205" i="25"/>
  <c r="L205" i="25" s="1"/>
  <c r="J206" i="25"/>
  <c r="L206" i="25" s="1"/>
  <c r="J207" i="25"/>
  <c r="L207" i="25" s="1"/>
  <c r="I198" i="25"/>
  <c r="I197" i="25" s="1"/>
  <c r="J186" i="25"/>
  <c r="L186" i="25" s="1"/>
  <c r="J187" i="25"/>
  <c r="L187" i="25" s="1"/>
  <c r="I176" i="25"/>
  <c r="J171" i="25"/>
  <c r="L171" i="25" s="1"/>
  <c r="J172" i="25"/>
  <c r="L172" i="25" s="1"/>
  <c r="K170" i="25"/>
  <c r="K166" i="25" s="1"/>
  <c r="I173" i="25"/>
  <c r="I170" i="25"/>
  <c r="J170" i="25" s="1"/>
  <c r="I167" i="25"/>
  <c r="J163" i="25"/>
  <c r="L163" i="25" s="1"/>
  <c r="K162" i="25"/>
  <c r="K159" i="25"/>
  <c r="J51" i="25"/>
  <c r="L51" i="25" s="1"/>
  <c r="J107" i="25"/>
  <c r="L107" i="25" s="1"/>
  <c r="J108" i="25"/>
  <c r="L108" i="25" s="1"/>
  <c r="J116" i="25"/>
  <c r="L116" i="25" s="1"/>
  <c r="J125" i="25"/>
  <c r="L125" i="25" s="1"/>
  <c r="K117" i="25"/>
  <c r="I112" i="25"/>
  <c r="H112" i="25"/>
  <c r="H102" i="25"/>
  <c r="I102" i="25"/>
  <c r="I97" i="25"/>
  <c r="I88" i="25"/>
  <c r="K42" i="25"/>
  <c r="K41" i="25"/>
  <c r="K40" i="25"/>
  <c r="I40" i="25"/>
  <c r="I41" i="25"/>
  <c r="I11" i="25" s="1"/>
  <c r="I42" i="25"/>
  <c r="I9" i="25" s="1"/>
  <c r="H42" i="25"/>
  <c r="H41" i="25"/>
  <c r="J356" i="25"/>
  <c r="L356" i="25" s="1"/>
  <c r="J348" i="25"/>
  <c r="L348" i="25" s="1"/>
  <c r="J346" i="25"/>
  <c r="L346" i="25" s="1"/>
  <c r="J345" i="25"/>
  <c r="L345" i="25" s="1"/>
  <c r="J344" i="25"/>
  <c r="L344" i="25" s="1"/>
  <c r="J343" i="25"/>
  <c r="L343" i="25" s="1"/>
  <c r="J342" i="25"/>
  <c r="L342" i="25" s="1"/>
  <c r="J341" i="25"/>
  <c r="L341" i="25" s="1"/>
  <c r="J340" i="25"/>
  <c r="L340" i="25" s="1"/>
  <c r="J339" i="25"/>
  <c r="L339" i="25" s="1"/>
  <c r="J336" i="25"/>
  <c r="L336" i="25" s="1"/>
  <c r="J335" i="25"/>
  <c r="L335" i="25" s="1"/>
  <c r="J334" i="25"/>
  <c r="L334" i="25" s="1"/>
  <c r="J331" i="25"/>
  <c r="L331" i="25" s="1"/>
  <c r="J330" i="25"/>
  <c r="L330" i="25" s="1"/>
  <c r="J328" i="25"/>
  <c r="L328" i="25" s="1"/>
  <c r="J327" i="25"/>
  <c r="L327" i="25" s="1"/>
  <c r="J326" i="25"/>
  <c r="L326" i="25" s="1"/>
  <c r="J325" i="25"/>
  <c r="L325" i="25" s="1"/>
  <c r="J323" i="25"/>
  <c r="L323" i="25" s="1"/>
  <c r="J322" i="25"/>
  <c r="L322" i="25" s="1"/>
  <c r="J321" i="25"/>
  <c r="L321" i="25" s="1"/>
  <c r="J320" i="25"/>
  <c r="L320" i="25" s="1"/>
  <c r="J319" i="25"/>
  <c r="L319" i="25" s="1"/>
  <c r="J318" i="25"/>
  <c r="L318" i="25" s="1"/>
  <c r="J316" i="25"/>
  <c r="L316" i="25" s="1"/>
  <c r="J310" i="25"/>
  <c r="L310" i="25" s="1"/>
  <c r="J309" i="25"/>
  <c r="L309" i="25" s="1"/>
  <c r="J308" i="25"/>
  <c r="L308" i="25" s="1"/>
  <c r="J307" i="25"/>
  <c r="L307" i="25" s="1"/>
  <c r="J305" i="25"/>
  <c r="L305" i="25" s="1"/>
  <c r="J304" i="25"/>
  <c r="L304" i="25" s="1"/>
  <c r="J303" i="25"/>
  <c r="L303" i="25" s="1"/>
  <c r="J302" i="25"/>
  <c r="L302" i="25" s="1"/>
  <c r="J301" i="25"/>
  <c r="L301" i="25" s="1"/>
  <c r="J300" i="25"/>
  <c r="L300" i="25" s="1"/>
  <c r="J299" i="25"/>
  <c r="L299" i="25" s="1"/>
  <c r="J297" i="25"/>
  <c r="L297" i="25" s="1"/>
  <c r="J296" i="25"/>
  <c r="L296" i="25" s="1"/>
  <c r="J295" i="25"/>
  <c r="L295" i="25" s="1"/>
  <c r="J294" i="25"/>
  <c r="L294" i="25" s="1"/>
  <c r="J291" i="25"/>
  <c r="L291" i="25" s="1"/>
  <c r="J290" i="25"/>
  <c r="L290" i="25" s="1"/>
  <c r="J289" i="25"/>
  <c r="L289" i="25" s="1"/>
  <c r="J288" i="25"/>
  <c r="L288" i="25" s="1"/>
  <c r="J286" i="25"/>
  <c r="L286" i="25" s="1"/>
  <c r="J285" i="25"/>
  <c r="L285" i="25" s="1"/>
  <c r="J283" i="25"/>
  <c r="L283" i="25" s="1"/>
  <c r="J281" i="25"/>
  <c r="L281" i="25" s="1"/>
  <c r="J280" i="25"/>
  <c r="L280" i="25" s="1"/>
  <c r="J279" i="25"/>
  <c r="L279" i="25" s="1"/>
  <c r="J278" i="25"/>
  <c r="L278" i="25" s="1"/>
  <c r="J277" i="25"/>
  <c r="L277" i="25" s="1"/>
  <c r="J276" i="25"/>
  <c r="L276" i="25" s="1"/>
  <c r="J275" i="25"/>
  <c r="L275" i="25" s="1"/>
  <c r="J272" i="25"/>
  <c r="L272" i="25" s="1"/>
  <c r="J271" i="25"/>
  <c r="L271" i="25" s="1"/>
  <c r="J269" i="25"/>
  <c r="L269" i="25" s="1"/>
  <c r="J266" i="25"/>
  <c r="L266" i="25" s="1"/>
  <c r="J265" i="25"/>
  <c r="L265" i="25" s="1"/>
  <c r="J264" i="25"/>
  <c r="L264" i="25" s="1"/>
  <c r="J263" i="25"/>
  <c r="L263" i="25" s="1"/>
  <c r="J262" i="25"/>
  <c r="L262" i="25" s="1"/>
  <c r="J254" i="25"/>
  <c r="L254" i="25" s="1"/>
  <c r="J253" i="25"/>
  <c r="L253" i="25" s="1"/>
  <c r="J252" i="25"/>
  <c r="L252" i="25" s="1"/>
  <c r="J250" i="25"/>
  <c r="L250" i="25" s="1"/>
  <c r="J249" i="25"/>
  <c r="L249" i="25" s="1"/>
  <c r="J247" i="25"/>
  <c r="L247" i="25" s="1"/>
  <c r="J245" i="25"/>
  <c r="L245" i="25" s="1"/>
  <c r="J244" i="25"/>
  <c r="L244" i="25" s="1"/>
  <c r="J243" i="25"/>
  <c r="L243" i="25" s="1"/>
  <c r="J242" i="25"/>
  <c r="L242" i="25" s="1"/>
  <c r="J241" i="25"/>
  <c r="L241" i="25" s="1"/>
  <c r="J240" i="25"/>
  <c r="L240" i="25" s="1"/>
  <c r="J239" i="25"/>
  <c r="L239" i="25" s="1"/>
  <c r="J237" i="25"/>
  <c r="L237" i="25" s="1"/>
  <c r="J236" i="25"/>
  <c r="L236" i="25" s="1"/>
  <c r="J235" i="25"/>
  <c r="L235" i="25" s="1"/>
  <c r="J234" i="25"/>
  <c r="L234" i="25" s="1"/>
  <c r="J233" i="25"/>
  <c r="L233" i="25" s="1"/>
  <c r="J230" i="25"/>
  <c r="L230" i="25" s="1"/>
  <c r="J229" i="25"/>
  <c r="L229" i="25" s="1"/>
  <c r="J228" i="25"/>
  <c r="L228" i="25" s="1"/>
  <c r="J223" i="25"/>
  <c r="L223" i="25" s="1"/>
  <c r="J222" i="25"/>
  <c r="L222" i="25" s="1"/>
  <c r="J220" i="25"/>
  <c r="L220" i="25" s="1"/>
  <c r="J219" i="25"/>
  <c r="L219" i="25" s="1"/>
  <c r="J218" i="25"/>
  <c r="L218" i="25" s="1"/>
  <c r="J216" i="25"/>
  <c r="L216" i="25" s="1"/>
  <c r="J215" i="25"/>
  <c r="L215" i="25" s="1"/>
  <c r="J203" i="25"/>
  <c r="L203" i="25" s="1"/>
  <c r="J202" i="25"/>
  <c r="L202" i="25" s="1"/>
  <c r="J201" i="25"/>
  <c r="L201" i="25" s="1"/>
  <c r="J200" i="25"/>
  <c r="L200" i="25" s="1"/>
  <c r="J199" i="25"/>
  <c r="J193" i="25"/>
  <c r="L193" i="25" s="1"/>
  <c r="J192" i="25"/>
  <c r="L192" i="25" s="1"/>
  <c r="J191" i="25"/>
  <c r="L191" i="25" s="1"/>
  <c r="J190" i="25"/>
  <c r="L190" i="25" s="1"/>
  <c r="J185" i="25"/>
  <c r="L185" i="25" s="1"/>
  <c r="J183" i="25"/>
  <c r="L183" i="25" s="1"/>
  <c r="J182" i="25"/>
  <c r="L182" i="25" s="1"/>
  <c r="J181" i="25"/>
  <c r="L181" i="25" s="1"/>
  <c r="J180" i="25"/>
  <c r="L180" i="25" s="1"/>
  <c r="J177" i="25"/>
  <c r="L177" i="25" s="1"/>
  <c r="J175" i="25"/>
  <c r="L175" i="25" s="1"/>
  <c r="J174" i="25"/>
  <c r="L174" i="25" s="1"/>
  <c r="J168" i="25"/>
  <c r="L168" i="25" s="1"/>
  <c r="J164" i="25"/>
  <c r="L164" i="25" s="1"/>
  <c r="J162" i="25"/>
  <c r="J161" i="25"/>
  <c r="L161" i="25" s="1"/>
  <c r="J159" i="25"/>
  <c r="J158" i="25"/>
  <c r="L158" i="25" s="1"/>
  <c r="J157" i="25"/>
  <c r="L157" i="25" s="1"/>
  <c r="J156" i="25"/>
  <c r="L156" i="25" s="1"/>
  <c r="J152" i="25"/>
  <c r="L152" i="25" s="1"/>
  <c r="J151" i="25"/>
  <c r="L151" i="25" s="1"/>
  <c r="J150" i="25"/>
  <c r="L150" i="25" s="1"/>
  <c r="J149" i="25"/>
  <c r="L149" i="25" s="1"/>
  <c r="J148" i="25"/>
  <c r="L148" i="25" s="1"/>
  <c r="J139" i="25"/>
  <c r="L139" i="25" s="1"/>
  <c r="J138" i="25"/>
  <c r="L138" i="25" s="1"/>
  <c r="J137" i="25"/>
  <c r="L137" i="25" s="1"/>
  <c r="J136" i="25"/>
  <c r="L136" i="25" s="1"/>
  <c r="J134" i="25"/>
  <c r="L134" i="25" s="1"/>
  <c r="J133" i="25"/>
  <c r="L133" i="25" s="1"/>
  <c r="J132" i="25"/>
  <c r="L132" i="25" s="1"/>
  <c r="J131" i="25"/>
  <c r="L131" i="25" s="1"/>
  <c r="J129" i="25"/>
  <c r="L129" i="25" s="1"/>
  <c r="J128" i="25"/>
  <c r="L128" i="25" s="1"/>
  <c r="J124" i="25"/>
  <c r="L124" i="25" s="1"/>
  <c r="J123" i="25"/>
  <c r="L123" i="25" s="1"/>
  <c r="J122" i="25"/>
  <c r="L122" i="25" s="1"/>
  <c r="J121" i="25"/>
  <c r="L121" i="25" s="1"/>
  <c r="J120" i="25"/>
  <c r="L120" i="25" s="1"/>
  <c r="J119" i="25"/>
  <c r="L119" i="25" s="1"/>
  <c r="J118" i="25"/>
  <c r="L118" i="25" s="1"/>
  <c r="J117" i="25"/>
  <c r="J115" i="25"/>
  <c r="L115" i="25" s="1"/>
  <c r="J114" i="25"/>
  <c r="L114" i="25" s="1"/>
  <c r="J113" i="25"/>
  <c r="L113" i="25" s="1"/>
  <c r="J111" i="25"/>
  <c r="L111" i="25" s="1"/>
  <c r="J110" i="25"/>
  <c r="L110" i="25" s="1"/>
  <c r="J106" i="25"/>
  <c r="L106" i="25" s="1"/>
  <c r="J105" i="25"/>
  <c r="L105" i="25" s="1"/>
  <c r="J104" i="25"/>
  <c r="L104" i="25" s="1"/>
  <c r="J103" i="25"/>
  <c r="L103" i="25" s="1"/>
  <c r="J101" i="25"/>
  <c r="L101" i="25" s="1"/>
  <c r="J100" i="25"/>
  <c r="L100" i="25" s="1"/>
  <c r="J99" i="25"/>
  <c r="L99" i="25" s="1"/>
  <c r="J98" i="25"/>
  <c r="L98" i="25" s="1"/>
  <c r="J95" i="25"/>
  <c r="L95" i="25" s="1"/>
  <c r="J93" i="25"/>
  <c r="L93" i="25" s="1"/>
  <c r="J92" i="25"/>
  <c r="L92" i="25" s="1"/>
  <c r="J91" i="25"/>
  <c r="L91" i="25" s="1"/>
  <c r="J87" i="25"/>
  <c r="L87" i="25" s="1"/>
  <c r="J85" i="25"/>
  <c r="L85" i="25" s="1"/>
  <c r="J84" i="25"/>
  <c r="L84" i="25" s="1"/>
  <c r="J83" i="25"/>
  <c r="L83" i="25" s="1"/>
  <c r="J82" i="25"/>
  <c r="L82" i="25" s="1"/>
  <c r="J76" i="25"/>
  <c r="L76" i="25" s="1"/>
  <c r="J73" i="25"/>
  <c r="L73" i="25" s="1"/>
  <c r="J72" i="25"/>
  <c r="L72" i="25" s="1"/>
  <c r="J71" i="25"/>
  <c r="L71" i="25" s="1"/>
  <c r="J70" i="25"/>
  <c r="L70" i="25" s="1"/>
  <c r="J69" i="25"/>
  <c r="L69" i="25" s="1"/>
  <c r="J68" i="25"/>
  <c r="L68" i="25" s="1"/>
  <c r="J67" i="25"/>
  <c r="L67" i="25" s="1"/>
  <c r="J66" i="25"/>
  <c r="L66" i="25" s="1"/>
  <c r="J65" i="25"/>
  <c r="L65" i="25" s="1"/>
  <c r="J64" i="25"/>
  <c r="L64" i="25" s="1"/>
  <c r="J63" i="25"/>
  <c r="L63" i="25" s="1"/>
  <c r="J62" i="25"/>
  <c r="L62" i="25" s="1"/>
  <c r="J61" i="25"/>
  <c r="L61" i="25" s="1"/>
  <c r="J60" i="25"/>
  <c r="L60" i="25" s="1"/>
  <c r="J59" i="25"/>
  <c r="L59" i="25" s="1"/>
  <c r="J58" i="25"/>
  <c r="L58" i="25" s="1"/>
  <c r="J57" i="25"/>
  <c r="L57" i="25" s="1"/>
  <c r="J56" i="25"/>
  <c r="L56" i="25" s="1"/>
  <c r="J55" i="25"/>
  <c r="L55" i="25" s="1"/>
  <c r="J54" i="25"/>
  <c r="L54" i="25" s="1"/>
  <c r="J53" i="25"/>
  <c r="L53" i="25" s="1"/>
  <c r="J52" i="25"/>
  <c r="L52" i="25" s="1"/>
  <c r="J50" i="25"/>
  <c r="L50" i="25" s="1"/>
  <c r="J48" i="25"/>
  <c r="L48" i="25" s="1"/>
  <c r="J47" i="25"/>
  <c r="L47" i="25" s="1"/>
  <c r="J45" i="25"/>
  <c r="L45" i="25" s="1"/>
  <c r="J44" i="25"/>
  <c r="L44" i="25" s="1"/>
  <c r="J38" i="25"/>
  <c r="L38" i="25" s="1"/>
  <c r="J35" i="25"/>
  <c r="L35" i="25" s="1"/>
  <c r="J34" i="25"/>
  <c r="L34" i="25" s="1"/>
  <c r="J33" i="25"/>
  <c r="L33" i="25" s="1"/>
  <c r="J32" i="25"/>
  <c r="L32" i="25" s="1"/>
  <c r="J30" i="25"/>
  <c r="L30" i="25" s="1"/>
  <c r="J29" i="25"/>
  <c r="L29" i="25" s="1"/>
  <c r="J28" i="25"/>
  <c r="L28" i="25" s="1"/>
  <c r="J27" i="25"/>
  <c r="L27" i="25" s="1"/>
  <c r="J25" i="25"/>
  <c r="L25" i="25" s="1"/>
  <c r="J24" i="25"/>
  <c r="L24" i="25" s="1"/>
  <c r="J23" i="25"/>
  <c r="L23" i="25" s="1"/>
  <c r="J21" i="25"/>
  <c r="L21" i="25" s="1"/>
  <c r="J20" i="25"/>
  <c r="L20" i="25" s="1"/>
  <c r="J17" i="25"/>
  <c r="L17" i="25" s="1"/>
  <c r="J13" i="25"/>
  <c r="L13" i="25" s="1"/>
  <c r="I12" i="25"/>
  <c r="V11" i="25" l="1"/>
  <c r="Z210" i="25"/>
  <c r="N211" i="25"/>
  <c r="P224" i="25"/>
  <c r="R224" i="25" s="1"/>
  <c r="N39" i="25"/>
  <c r="N37" i="25" s="1"/>
  <c r="S11" i="25"/>
  <c r="Z11" i="25"/>
  <c r="Y11" i="25"/>
  <c r="Z9" i="25"/>
  <c r="X11" i="25"/>
  <c r="Y9" i="25"/>
  <c r="W11" i="25"/>
  <c r="N8" i="25"/>
  <c r="U11" i="25"/>
  <c r="I8" i="25"/>
  <c r="I7" i="25" s="1"/>
  <c r="N11" i="25"/>
  <c r="T11" i="25"/>
  <c r="I255" i="25"/>
  <c r="I208" i="25" s="1"/>
  <c r="T210" i="25"/>
  <c r="N166" i="25"/>
  <c r="I292" i="25"/>
  <c r="T255" i="25"/>
  <c r="Y209" i="25"/>
  <c r="S255" i="25"/>
  <c r="S209" i="25"/>
  <c r="Z255" i="25"/>
  <c r="Y255" i="25"/>
  <c r="X255" i="25"/>
  <c r="Y210" i="25"/>
  <c r="V255" i="25"/>
  <c r="U209" i="25"/>
  <c r="W39" i="25"/>
  <c r="W37" i="25" s="1"/>
  <c r="W14" i="25" s="1"/>
  <c r="Z209" i="25"/>
  <c r="W255" i="25"/>
  <c r="L18" i="25"/>
  <c r="N292" i="25"/>
  <c r="V39" i="25"/>
  <c r="T209" i="25"/>
  <c r="X209" i="25"/>
  <c r="U255" i="25"/>
  <c r="N255" i="25"/>
  <c r="T39" i="25"/>
  <c r="N209" i="25"/>
  <c r="Z39" i="25"/>
  <c r="Z37" i="25" s="1"/>
  <c r="Z14" i="25" s="1"/>
  <c r="Y39" i="25"/>
  <c r="Y37" i="25" s="1"/>
  <c r="Y14" i="25" s="1"/>
  <c r="X210" i="25"/>
  <c r="W210" i="25"/>
  <c r="W209" i="25"/>
  <c r="V210" i="25"/>
  <c r="U210" i="25"/>
  <c r="S210" i="25"/>
  <c r="N210" i="25"/>
  <c r="N74" i="25"/>
  <c r="N14" i="25"/>
  <c r="J224" i="25"/>
  <c r="L224" i="25" s="1"/>
  <c r="I210" i="25"/>
  <c r="L170" i="25"/>
  <c r="I166" i="25"/>
  <c r="L159" i="25"/>
  <c r="L162" i="25"/>
  <c r="L117" i="25"/>
  <c r="I74" i="25"/>
  <c r="I39" i="25"/>
  <c r="I37" i="25" s="1"/>
  <c r="I14" i="25" s="1"/>
  <c r="K39" i="25"/>
  <c r="K37" i="25" s="1"/>
  <c r="J42" i="25"/>
  <c r="L42" i="25" s="1"/>
  <c r="Z208" i="25" l="1"/>
  <c r="I6" i="25"/>
  <c r="Y208" i="25"/>
  <c r="W208" i="25"/>
  <c r="X208" i="25"/>
  <c r="N208" i="25"/>
  <c r="N6" i="25" s="1"/>
  <c r="K75" i="25" l="1"/>
  <c r="W75" i="25"/>
  <c r="W74" i="25" s="1"/>
  <c r="X75" i="25"/>
  <c r="X74" i="25" s="1"/>
  <c r="Y75" i="25"/>
  <c r="Y74" i="25" s="1"/>
  <c r="Z75" i="25"/>
  <c r="Z74" i="25" s="1"/>
  <c r="M76" i="25"/>
  <c r="P76" i="25" s="1"/>
  <c r="R76" i="25" s="1"/>
  <c r="H77" i="25"/>
  <c r="H78" i="25"/>
  <c r="J78" i="25" s="1"/>
  <c r="L78" i="25" s="1"/>
  <c r="H79" i="25"/>
  <c r="J79" i="25" s="1"/>
  <c r="L79" i="25" s="1"/>
  <c r="H80" i="25"/>
  <c r="J80" i="25" s="1"/>
  <c r="L80" i="25" s="1"/>
  <c r="M81" i="25"/>
  <c r="P81" i="25" s="1"/>
  <c r="R81" i="25" s="1"/>
  <c r="S81" i="25"/>
  <c r="T81" i="25"/>
  <c r="U81" i="25"/>
  <c r="U74" i="25" s="1"/>
  <c r="V81" i="25"/>
  <c r="H86" i="25"/>
  <c r="J86" i="25" s="1"/>
  <c r="L86" i="25" s="1"/>
  <c r="M88" i="25"/>
  <c r="P88" i="25" s="1"/>
  <c r="R88" i="25" s="1"/>
  <c r="H89" i="25"/>
  <c r="J89" i="25" s="1"/>
  <c r="L89" i="25" s="1"/>
  <c r="S89" i="25"/>
  <c r="S9" i="25" s="1"/>
  <c r="H90" i="25"/>
  <c r="J90" i="25" s="1"/>
  <c r="S90" i="25"/>
  <c r="M94" i="25"/>
  <c r="P94" i="25" s="1"/>
  <c r="R94" i="25" s="1"/>
  <c r="J96" i="25"/>
  <c r="L96" i="25" s="1"/>
  <c r="H97" i="25"/>
  <c r="J97" i="25" s="1"/>
  <c r="L97" i="25" s="1"/>
  <c r="M97" i="25"/>
  <c r="P97" i="25" s="1"/>
  <c r="R97" i="25" s="1"/>
  <c r="S97" i="25"/>
  <c r="J102" i="25"/>
  <c r="K102" i="25"/>
  <c r="M102" i="25"/>
  <c r="P102" i="25" s="1"/>
  <c r="R102" i="25" s="1"/>
  <c r="AA102" i="25"/>
  <c r="AB102" i="25"/>
  <c r="AC102" i="25"/>
  <c r="H109" i="25"/>
  <c r="J109" i="25" s="1"/>
  <c r="L109" i="25" s="1"/>
  <c r="J112" i="25"/>
  <c r="L112" i="25" s="1"/>
  <c r="M112" i="25"/>
  <c r="P112" i="25" s="1"/>
  <c r="R112" i="25" s="1"/>
  <c r="M124" i="25"/>
  <c r="H126" i="25"/>
  <c r="J126" i="25" s="1"/>
  <c r="L126" i="25" s="1"/>
  <c r="X15" i="25"/>
  <c r="M15" i="25"/>
  <c r="P15" i="25" s="1"/>
  <c r="R15" i="25" s="1"/>
  <c r="L16" i="25"/>
  <c r="X18" i="25"/>
  <c r="M18" i="25"/>
  <c r="P18" i="25" s="1"/>
  <c r="R18" i="25" s="1"/>
  <c r="J19" i="25"/>
  <c r="H22" i="25"/>
  <c r="J22" i="25" s="1"/>
  <c r="L22" i="25" s="1"/>
  <c r="M22" i="25"/>
  <c r="P22" i="25" s="1"/>
  <c r="R22" i="25" s="1"/>
  <c r="H26" i="25"/>
  <c r="J26" i="25" s="1"/>
  <c r="L26" i="25" s="1"/>
  <c r="M26" i="25"/>
  <c r="P26" i="25" s="1"/>
  <c r="R26" i="25" s="1"/>
  <c r="X30" i="25"/>
  <c r="H36" i="25"/>
  <c r="M38" i="25"/>
  <c r="P38" i="25" s="1"/>
  <c r="R38" i="25" s="1"/>
  <c r="H40" i="25"/>
  <c r="J40" i="25" s="1"/>
  <c r="T37" i="25"/>
  <c r="V37" i="25"/>
  <c r="V14" i="25" s="1"/>
  <c r="M42" i="25"/>
  <c r="P42" i="25" s="1"/>
  <c r="R42" i="25" s="1"/>
  <c r="J41" i="25"/>
  <c r="L41" i="25" s="1"/>
  <c r="M41" i="25"/>
  <c r="P41" i="25" s="1"/>
  <c r="R41" i="25" s="1"/>
  <c r="H43" i="25"/>
  <c r="J43" i="25" s="1"/>
  <c r="L43" i="25" s="1"/>
  <c r="M43" i="25"/>
  <c r="P43" i="25" s="1"/>
  <c r="R43" i="25" s="1"/>
  <c r="H46" i="25"/>
  <c r="J46" i="25" s="1"/>
  <c r="L46" i="25" s="1"/>
  <c r="M46" i="25"/>
  <c r="P46" i="25" s="1"/>
  <c r="R46" i="25" s="1"/>
  <c r="J49" i="25"/>
  <c r="L49" i="25" s="1"/>
  <c r="M49" i="25"/>
  <c r="P49" i="25" s="1"/>
  <c r="R49" i="25" s="1"/>
  <c r="S58" i="25"/>
  <c r="X58" i="25"/>
  <c r="S61" i="25"/>
  <c r="X61" i="25"/>
  <c r="X67" i="25"/>
  <c r="U67" i="25"/>
  <c r="M73" i="25"/>
  <c r="P73" i="25" s="1"/>
  <c r="R73" i="25" s="1"/>
  <c r="X73" i="25"/>
  <c r="K127" i="25"/>
  <c r="M129" i="25"/>
  <c r="P129" i="25" s="1"/>
  <c r="R129" i="25" s="1"/>
  <c r="H130" i="25"/>
  <c r="J130" i="25" s="1"/>
  <c r="L130" i="25" s="1"/>
  <c r="M130" i="25"/>
  <c r="P130" i="25" s="1"/>
  <c r="R130" i="25" s="1"/>
  <c r="H135" i="25"/>
  <c r="J135" i="25" s="1"/>
  <c r="L135" i="25" s="1"/>
  <c r="H144" i="25"/>
  <c r="J144" i="25" s="1"/>
  <c r="L144" i="25" s="1"/>
  <c r="H145" i="25"/>
  <c r="J145" i="25" s="1"/>
  <c r="L145" i="25" s="1"/>
  <c r="H146" i="25"/>
  <c r="J146" i="25" s="1"/>
  <c r="L146" i="25" s="1"/>
  <c r="K147" i="25"/>
  <c r="H160" i="25"/>
  <c r="M160" i="25"/>
  <c r="P160" i="25" s="1"/>
  <c r="R160" i="25" s="1"/>
  <c r="S160" i="25"/>
  <c r="T160" i="25"/>
  <c r="U160" i="25"/>
  <c r="V160" i="25"/>
  <c r="W160" i="25"/>
  <c r="X160" i="25"/>
  <c r="X147" i="25" s="1"/>
  <c r="Y160" i="25"/>
  <c r="Z160" i="25"/>
  <c r="H165" i="25"/>
  <c r="J165" i="25" s="1"/>
  <c r="L165" i="25" s="1"/>
  <c r="M165" i="25"/>
  <c r="P165" i="25" s="1"/>
  <c r="R165" i="25" s="1"/>
  <c r="S165" i="25"/>
  <c r="T165" i="25"/>
  <c r="U165" i="25"/>
  <c r="V165" i="25"/>
  <c r="W167" i="25"/>
  <c r="W166" i="25" s="1"/>
  <c r="X167" i="25"/>
  <c r="X166" i="25" s="1"/>
  <c r="Y167" i="25"/>
  <c r="Y166" i="25" s="1"/>
  <c r="M168" i="25"/>
  <c r="P168" i="25" s="1"/>
  <c r="R168" i="25" s="1"/>
  <c r="S168" i="25"/>
  <c r="T168" i="25"/>
  <c r="U168" i="25"/>
  <c r="V168" i="25"/>
  <c r="H169" i="25"/>
  <c r="M169" i="25"/>
  <c r="P169" i="25" s="1"/>
  <c r="R169" i="25" s="1"/>
  <c r="H173" i="25"/>
  <c r="J173" i="25" s="1"/>
  <c r="L173" i="25" s="1"/>
  <c r="M173" i="25"/>
  <c r="P173" i="25" s="1"/>
  <c r="R173" i="25" s="1"/>
  <c r="M177" i="25"/>
  <c r="P177" i="25" s="1"/>
  <c r="R177" i="25" s="1"/>
  <c r="H178" i="25"/>
  <c r="K178" i="25"/>
  <c r="K176" i="25" s="1"/>
  <c r="S178" i="25"/>
  <c r="T178" i="25"/>
  <c r="T176" i="25" s="1"/>
  <c r="U178" i="25"/>
  <c r="V178" i="25"/>
  <c r="V176" i="25" s="1"/>
  <c r="W178" i="25"/>
  <c r="X178" i="25"/>
  <c r="X176" i="25" s="1"/>
  <c r="Y178" i="25"/>
  <c r="Z178" i="25"/>
  <c r="Z176" i="25" s="1"/>
  <c r="M180" i="25"/>
  <c r="P180" i="25" s="1"/>
  <c r="R180" i="25" s="1"/>
  <c r="H184" i="25"/>
  <c r="J184" i="25" s="1"/>
  <c r="L184" i="25" s="1"/>
  <c r="M184" i="25"/>
  <c r="P184" i="25" s="1"/>
  <c r="R184" i="25" s="1"/>
  <c r="A185" i="25"/>
  <c r="H188" i="25"/>
  <c r="J188" i="25" s="1"/>
  <c r="L188" i="25" s="1"/>
  <c r="M188" i="25"/>
  <c r="P188" i="25" s="1"/>
  <c r="R188" i="25" s="1"/>
  <c r="T147" i="25" l="1"/>
  <c r="S147" i="25"/>
  <c r="A124" i="25"/>
  <c r="P124" i="25"/>
  <c r="R124" i="25" s="1"/>
  <c r="W147" i="25"/>
  <c r="J77" i="25"/>
  <c r="L77" i="25" s="1"/>
  <c r="H9" i="25"/>
  <c r="V147" i="25"/>
  <c r="U147" i="25"/>
  <c r="J36" i="25"/>
  <c r="L36" i="25" s="1"/>
  <c r="V74" i="25"/>
  <c r="Z147" i="25"/>
  <c r="M147" i="25"/>
  <c r="P147" i="25" s="1"/>
  <c r="R147" i="25" s="1"/>
  <c r="J160" i="25"/>
  <c r="L160" i="25" s="1"/>
  <c r="H147" i="25"/>
  <c r="J147" i="25" s="1"/>
  <c r="L147" i="25" s="1"/>
  <c r="T74" i="25"/>
  <c r="Y147" i="25"/>
  <c r="J169" i="25"/>
  <c r="L169" i="25" s="1"/>
  <c r="S88" i="25"/>
  <c r="S74" i="25" s="1"/>
  <c r="S40" i="25"/>
  <c r="W179" i="25"/>
  <c r="W176" i="25"/>
  <c r="U179" i="25"/>
  <c r="U176" i="25"/>
  <c r="U40" i="25"/>
  <c r="Y179" i="25"/>
  <c r="Y176" i="25"/>
  <c r="S179" i="25"/>
  <c r="S176" i="25"/>
  <c r="J178" i="25"/>
  <c r="L178" i="25" s="1"/>
  <c r="H176" i="25"/>
  <c r="J176" i="25" s="1"/>
  <c r="J153" i="25"/>
  <c r="L153" i="25" s="1"/>
  <c r="L19" i="25"/>
  <c r="L90" i="25"/>
  <c r="Z179" i="25"/>
  <c r="W168" i="25"/>
  <c r="L102" i="25"/>
  <c r="L40" i="25"/>
  <c r="T179" i="25"/>
  <c r="H179" i="25"/>
  <c r="J179" i="25" s="1"/>
  <c r="H167" i="25"/>
  <c r="H75" i="25"/>
  <c r="X59" i="25"/>
  <c r="X40" i="25" s="1"/>
  <c r="X39" i="25" s="1"/>
  <c r="X37" i="25" s="1"/>
  <c r="X14" i="25" s="1"/>
  <c r="V179" i="25"/>
  <c r="Y168" i="25"/>
  <c r="X179" i="25"/>
  <c r="X168" i="25"/>
  <c r="H127" i="25"/>
  <c r="J127" i="25" s="1"/>
  <c r="L127" i="25" s="1"/>
  <c r="M40" i="25"/>
  <c r="P40" i="25" s="1"/>
  <c r="R40" i="25" s="1"/>
  <c r="H88" i="25"/>
  <c r="J88" i="25" s="1"/>
  <c r="L88" i="25" s="1"/>
  <c r="H39" i="25"/>
  <c r="J39" i="25" s="1"/>
  <c r="K74" i="25"/>
  <c r="H81" i="25"/>
  <c r="J81" i="25" s="1"/>
  <c r="L81" i="25" s="1"/>
  <c r="M75" i="25"/>
  <c r="P75" i="25" s="1"/>
  <c r="R75" i="25" s="1"/>
  <c r="K179" i="25"/>
  <c r="M178" i="25"/>
  <c r="P178" i="25" s="1"/>
  <c r="R178" i="25" s="1"/>
  <c r="M167" i="25"/>
  <c r="P167" i="25" s="1"/>
  <c r="R167" i="25" s="1"/>
  <c r="M127" i="25"/>
  <c r="P127" i="25" s="1"/>
  <c r="R127" i="25" s="1"/>
  <c r="S39" i="25" l="1"/>
  <c r="S37" i="25" s="1"/>
  <c r="X8" i="25"/>
  <c r="X7" i="25" s="1"/>
  <c r="U39" i="25"/>
  <c r="U37" i="25" s="1"/>
  <c r="J167" i="25"/>
  <c r="L167" i="25" s="1"/>
  <c r="H166" i="25"/>
  <c r="J166" i="25" s="1"/>
  <c r="L166" i="25" s="1"/>
  <c r="J75" i="25"/>
  <c r="L75" i="25" s="1"/>
  <c r="H74" i="25"/>
  <c r="J74" i="25" s="1"/>
  <c r="L74" i="25" s="1"/>
  <c r="L176" i="25"/>
  <c r="L179" i="25"/>
  <c r="L39" i="25"/>
  <c r="H37" i="25"/>
  <c r="J37" i="25" s="1"/>
  <c r="M39" i="25"/>
  <c r="P39" i="25" s="1"/>
  <c r="R39" i="25" s="1"/>
  <c r="M74" i="25"/>
  <c r="P74" i="25" s="1"/>
  <c r="R74" i="25" s="1"/>
  <c r="M166" i="25"/>
  <c r="P166" i="25" s="1"/>
  <c r="R166" i="25" s="1"/>
  <c r="M179" i="25"/>
  <c r="P179" i="25" s="1"/>
  <c r="R179" i="25" s="1"/>
  <c r="M176" i="25"/>
  <c r="P176" i="25" s="1"/>
  <c r="R176" i="25" s="1"/>
  <c r="L37" i="25" l="1"/>
  <c r="K14" i="25"/>
  <c r="H14" i="25"/>
  <c r="M37" i="25"/>
  <c r="P37" i="25" s="1"/>
  <c r="R37" i="25" s="1"/>
  <c r="J14" i="25" l="1"/>
  <c r="L14" i="25" s="1"/>
  <c r="M14" i="25"/>
  <c r="P14" i="25" s="1"/>
  <c r="R14" i="25" s="1"/>
  <c r="T273" i="25" l="1"/>
  <c r="T208" i="25" s="1"/>
  <c r="U273" i="25"/>
  <c r="U208" i="25" s="1"/>
  <c r="S273" i="25"/>
  <c r="S208" i="25" s="1"/>
  <c r="H231" i="25" l="1"/>
  <c r="J231" i="25" s="1"/>
  <c r="K231" i="25"/>
  <c r="K232" i="25" s="1"/>
  <c r="M234" i="25"/>
  <c r="P234" i="25" s="1"/>
  <c r="R234" i="25" s="1"/>
  <c r="M236" i="25"/>
  <c r="P236" i="25" s="1"/>
  <c r="R236" i="25" s="1"/>
  <c r="M237" i="25"/>
  <c r="P237" i="25" s="1"/>
  <c r="R237" i="25" s="1"/>
  <c r="M241" i="25"/>
  <c r="P241" i="25" s="1"/>
  <c r="R241" i="25" s="1"/>
  <c r="M242" i="25"/>
  <c r="P242" i="25" s="1"/>
  <c r="R242" i="25" s="1"/>
  <c r="M253" i="25"/>
  <c r="P253" i="25" s="1"/>
  <c r="R253" i="25" s="1"/>
  <c r="M254" i="25"/>
  <c r="P254" i="25" s="1"/>
  <c r="R254" i="25" s="1"/>
  <c r="L231" i="25" l="1"/>
  <c r="M231" i="25"/>
  <c r="P231" i="25" s="1"/>
  <c r="R231" i="25" s="1"/>
  <c r="H232" i="25"/>
  <c r="J232" i="25" l="1"/>
  <c r="L232" i="25" s="1"/>
  <c r="M232" i="25"/>
  <c r="P232" i="25" s="1"/>
  <c r="R232" i="25" s="1"/>
  <c r="M352" i="25" l="1"/>
  <c r="P352" i="25" s="1"/>
  <c r="R352" i="25" s="1"/>
  <c r="J352" i="25"/>
  <c r="L352" i="25" s="1"/>
  <c r="H349" i="25"/>
  <c r="J349" i="25" s="1"/>
  <c r="Z347" i="25"/>
  <c r="Y347" i="25"/>
  <c r="Y8" i="25" s="1"/>
  <c r="Y7" i="25" s="1"/>
  <c r="X347" i="25"/>
  <c r="W347" i="25"/>
  <c r="V347" i="25"/>
  <c r="U347" i="25"/>
  <c r="T347" i="25"/>
  <c r="S347" i="25"/>
  <c r="S292" i="25" s="1"/>
  <c r="M347" i="25"/>
  <c r="P347" i="25" s="1"/>
  <c r="R347" i="25" s="1"/>
  <c r="M338" i="25"/>
  <c r="H338" i="25"/>
  <c r="J338" i="25" s="1"/>
  <c r="L338" i="25" s="1"/>
  <c r="H337" i="25"/>
  <c r="J337" i="25" s="1"/>
  <c r="L337" i="25" s="1"/>
  <c r="H333" i="25"/>
  <c r="J333" i="25" s="1"/>
  <c r="L333" i="25" s="1"/>
  <c r="Z332" i="25"/>
  <c r="Z8" i="25" s="1"/>
  <c r="Z7" i="25" s="1"/>
  <c r="Y332" i="25"/>
  <c r="W332" i="25"/>
  <c r="V332" i="25"/>
  <c r="U332" i="25"/>
  <c r="T332" i="25"/>
  <c r="M329" i="25"/>
  <c r="P329" i="25" s="1"/>
  <c r="R329" i="25" s="1"/>
  <c r="H329" i="25"/>
  <c r="J329" i="25" s="1"/>
  <c r="L329" i="25" s="1"/>
  <c r="M317" i="25"/>
  <c r="P317" i="25" s="1"/>
  <c r="R317" i="25" s="1"/>
  <c r="H317" i="25"/>
  <c r="M306" i="25"/>
  <c r="P306" i="25" s="1"/>
  <c r="R306" i="25" s="1"/>
  <c r="H306" i="25"/>
  <c r="J306" i="25" s="1"/>
  <c r="L306" i="25" s="1"/>
  <c r="M305" i="25"/>
  <c r="P305" i="25" s="1"/>
  <c r="R305" i="25" s="1"/>
  <c r="M299" i="25"/>
  <c r="P299" i="25" s="1"/>
  <c r="R299" i="25" s="1"/>
  <c r="Z293" i="25"/>
  <c r="Y293" i="25"/>
  <c r="X293" i="25"/>
  <c r="W293" i="25"/>
  <c r="V293" i="25"/>
  <c r="U293" i="25"/>
  <c r="T293" i="25"/>
  <c r="M293" i="25"/>
  <c r="P293" i="25" s="1"/>
  <c r="R293" i="25" s="1"/>
  <c r="K293" i="25"/>
  <c r="K292" i="25" s="1"/>
  <c r="H293" i="25"/>
  <c r="J293" i="25" s="1"/>
  <c r="M287" i="25"/>
  <c r="P287" i="25" s="1"/>
  <c r="R287" i="25" s="1"/>
  <c r="H287" i="25"/>
  <c r="J287" i="25" s="1"/>
  <c r="L287" i="25" s="1"/>
  <c r="M282" i="25"/>
  <c r="P282" i="25" s="1"/>
  <c r="R282" i="25" s="1"/>
  <c r="J282" i="25"/>
  <c r="L282" i="25" s="1"/>
  <c r="M274" i="25"/>
  <c r="P274" i="25" s="1"/>
  <c r="R274" i="25" s="1"/>
  <c r="H274" i="25"/>
  <c r="J274" i="25" s="1"/>
  <c r="L274" i="25" s="1"/>
  <c r="K273" i="25"/>
  <c r="M270" i="25"/>
  <c r="P270" i="25" s="1"/>
  <c r="R270" i="25" s="1"/>
  <c r="H270" i="25"/>
  <c r="J270" i="25" s="1"/>
  <c r="L270" i="25" s="1"/>
  <c r="M268" i="25"/>
  <c r="P268" i="25" s="1"/>
  <c r="R268" i="25" s="1"/>
  <c r="H268" i="25"/>
  <c r="M267" i="25"/>
  <c r="P267" i="25" s="1"/>
  <c r="R267" i="25" s="1"/>
  <c r="H267" i="25"/>
  <c r="J267" i="25" s="1"/>
  <c r="L267" i="25" s="1"/>
  <c r="M261" i="25"/>
  <c r="P261" i="25" s="1"/>
  <c r="R261" i="25" s="1"/>
  <c r="H261" i="25"/>
  <c r="J261" i="25" s="1"/>
  <c r="L261" i="25" s="1"/>
  <c r="M257" i="25"/>
  <c r="P257" i="25" s="1"/>
  <c r="R257" i="25" s="1"/>
  <c r="J257" i="25"/>
  <c r="L257" i="25" s="1"/>
  <c r="M227" i="25"/>
  <c r="P227" i="25" s="1"/>
  <c r="R227" i="25" s="1"/>
  <c r="H227" i="25"/>
  <c r="J227" i="25" s="1"/>
  <c r="L227" i="25" s="1"/>
  <c r="V221" i="25"/>
  <c r="V211" i="25" s="1"/>
  <c r="V209" i="25" s="1"/>
  <c r="V208" i="25" s="1"/>
  <c r="M221" i="25"/>
  <c r="P221" i="25" s="1"/>
  <c r="R221" i="25" s="1"/>
  <c r="H221" i="25"/>
  <c r="J221" i="25" s="1"/>
  <c r="L221" i="25" s="1"/>
  <c r="M218" i="25"/>
  <c r="P218" i="25" s="1"/>
  <c r="R218" i="25" s="1"/>
  <c r="S217" i="25"/>
  <c r="H217" i="25"/>
  <c r="J217" i="25" s="1"/>
  <c r="L217" i="25" s="1"/>
  <c r="M215" i="25"/>
  <c r="P215" i="25" s="1"/>
  <c r="R215" i="25" s="1"/>
  <c r="M214" i="25"/>
  <c r="K214" i="25"/>
  <c r="K9" i="25" s="1"/>
  <c r="J214" i="25"/>
  <c r="M213" i="25"/>
  <c r="K213" i="25"/>
  <c r="K11" i="25" s="1"/>
  <c r="H213" i="25"/>
  <c r="K212" i="25"/>
  <c r="J212" i="25"/>
  <c r="K211" i="25"/>
  <c r="K209" i="25" s="1"/>
  <c r="A201" i="25"/>
  <c r="V199" i="25"/>
  <c r="V8" i="25" s="1"/>
  <c r="V7" i="25" s="1"/>
  <c r="U199" i="25"/>
  <c r="U8" i="25" s="1"/>
  <c r="U7" i="25" s="1"/>
  <c r="T199" i="25"/>
  <c r="T8" i="25" s="1"/>
  <c r="T7" i="25" s="1"/>
  <c r="S199" i="25"/>
  <c r="S8" i="25" s="1"/>
  <c r="S7" i="25" s="1"/>
  <c r="L199" i="25"/>
  <c r="M198" i="25"/>
  <c r="H198" i="25"/>
  <c r="K197" i="25"/>
  <c r="M189" i="25"/>
  <c r="P189" i="25" s="1"/>
  <c r="R189" i="25" s="1"/>
  <c r="AC12" i="25"/>
  <c r="AB12" i="25"/>
  <c r="AA12" i="25"/>
  <c r="Z12" i="25"/>
  <c r="Y12" i="25"/>
  <c r="X12" i="25"/>
  <c r="W12" i="25"/>
  <c r="V12" i="25"/>
  <c r="U12" i="25"/>
  <c r="T12" i="25"/>
  <c r="S12" i="25"/>
  <c r="M12" i="25"/>
  <c r="P12" i="25" s="1"/>
  <c r="R12" i="25" s="1"/>
  <c r="H12" i="25"/>
  <c r="W8" i="25" l="1"/>
  <c r="W7" i="25" s="1"/>
  <c r="M11" i="25"/>
  <c r="P11" i="25" s="1"/>
  <c r="R11" i="25" s="1"/>
  <c r="P213" i="25"/>
  <c r="R213" i="25" s="1"/>
  <c r="M9" i="25"/>
  <c r="P9" i="25" s="1"/>
  <c r="R9" i="25" s="1"/>
  <c r="P214" i="25"/>
  <c r="R214" i="25" s="1"/>
  <c r="M332" i="25"/>
  <c r="P332" i="25" s="1"/>
  <c r="R332" i="25" s="1"/>
  <c r="P338" i="25"/>
  <c r="R338" i="25" s="1"/>
  <c r="A198" i="25"/>
  <c r="A6" i="25" s="1"/>
  <c r="P198" i="25"/>
  <c r="R198" i="25" s="1"/>
  <c r="M273" i="25"/>
  <c r="P273" i="25" s="1"/>
  <c r="R273" i="25" s="1"/>
  <c r="K210" i="25"/>
  <c r="K8" i="25"/>
  <c r="K7" i="25" s="1"/>
  <c r="J213" i="25"/>
  <c r="H11" i="25"/>
  <c r="U292" i="25"/>
  <c r="J12" i="25"/>
  <c r="L12" i="25" s="1"/>
  <c r="J268" i="25"/>
  <c r="L268" i="25" s="1"/>
  <c r="H256" i="25"/>
  <c r="J256" i="25" s="1"/>
  <c r="L256" i="25" s="1"/>
  <c r="J317" i="25"/>
  <c r="L317" i="25" s="1"/>
  <c r="T292" i="25"/>
  <c r="V292" i="25"/>
  <c r="V6" i="25" s="1"/>
  <c r="M256" i="25"/>
  <c r="P256" i="25" s="1"/>
  <c r="R256" i="25" s="1"/>
  <c r="X292" i="25"/>
  <c r="X6" i="25" s="1"/>
  <c r="W292" i="25"/>
  <c r="W6" i="25" s="1"/>
  <c r="Y292" i="25"/>
  <c r="Y6" i="25" s="1"/>
  <c r="Z292" i="25"/>
  <c r="Z6" i="25" s="1"/>
  <c r="J198" i="25"/>
  <c r="L198" i="25" s="1"/>
  <c r="H197" i="25"/>
  <c r="J197" i="25" s="1"/>
  <c r="L197" i="25" s="1"/>
  <c r="L189" i="25"/>
  <c r="L213" i="25"/>
  <c r="L293" i="25"/>
  <c r="K208" i="25"/>
  <c r="K6" i="25" s="1"/>
  <c r="L214" i="25"/>
  <c r="H347" i="25"/>
  <c r="J347" i="25" s="1"/>
  <c r="L347" i="25" s="1"/>
  <c r="L212" i="25"/>
  <c r="M217" i="25"/>
  <c r="P217" i="25" s="1"/>
  <c r="R217" i="25" s="1"/>
  <c r="M197" i="25"/>
  <c r="P197" i="25" s="1"/>
  <c r="R197" i="25" s="1"/>
  <c r="M298" i="25"/>
  <c r="P298" i="25" s="1"/>
  <c r="R298" i="25" s="1"/>
  <c r="H210" i="25"/>
  <c r="J210" i="25" s="1"/>
  <c r="H332" i="25"/>
  <c r="J332" i="25" s="1"/>
  <c r="L332" i="25" s="1"/>
  <c r="H211" i="25"/>
  <c r="J211" i="25" s="1"/>
  <c r="L211" i="25" s="1"/>
  <c r="H298" i="25"/>
  <c r="J298" i="25" s="1"/>
  <c r="L298" i="25" s="1"/>
  <c r="H273" i="25"/>
  <c r="J273" i="25" s="1"/>
  <c r="L273" i="25" s="1"/>
  <c r="M211" i="25"/>
  <c r="P211" i="25" s="1"/>
  <c r="R211" i="25" s="1"/>
  <c r="M212" i="25"/>
  <c r="P212" i="25" s="1"/>
  <c r="R212" i="25" s="1"/>
  <c r="L210" i="25" l="1"/>
  <c r="M8" i="25"/>
  <c r="H255" i="25"/>
  <c r="J255" i="25" s="1"/>
  <c r="L255" i="25" s="1"/>
  <c r="H8" i="25"/>
  <c r="J8" i="25" s="1"/>
  <c r="L8" i="25" s="1"/>
  <c r="H292" i="25"/>
  <c r="J292" i="25" s="1"/>
  <c r="M292" i="25"/>
  <c r="P292" i="25" s="1"/>
  <c r="R292" i="25" s="1"/>
  <c r="M255" i="25"/>
  <c r="P255" i="25" s="1"/>
  <c r="R255" i="25" s="1"/>
  <c r="H209" i="25"/>
  <c r="J209" i="25" s="1"/>
  <c r="L209" i="25" s="1"/>
  <c r="M210" i="25"/>
  <c r="P210" i="25" s="1"/>
  <c r="R210" i="25" s="1"/>
  <c r="M209" i="25"/>
  <c r="P209" i="25" s="1"/>
  <c r="R209" i="25" s="1"/>
  <c r="M7" i="25" l="1"/>
  <c r="P8" i="25"/>
  <c r="R8" i="25" s="1"/>
  <c r="L292" i="25"/>
  <c r="H208" i="25"/>
  <c r="M208" i="25"/>
  <c r="M6" i="25" l="1"/>
  <c r="P208" i="25"/>
  <c r="R208" i="25" s="1"/>
  <c r="J208" i="25"/>
  <c r="H6" i="25"/>
  <c r="J6" i="25" s="1"/>
  <c r="L6" i="25" s="1"/>
  <c r="M4" i="25" l="1"/>
  <c r="P6" i="25"/>
  <c r="R6" i="25" s="1"/>
  <c r="L208" i="25"/>
  <c r="H7" i="25"/>
  <c r="J10" i="25"/>
  <c r="J9" i="25"/>
  <c r="J11" i="25"/>
  <c r="L10" i="25" l="1"/>
  <c r="L11" i="25"/>
  <c r="L9" i="25"/>
  <c r="J7" i="25"/>
  <c r="L7" i="25" l="1"/>
  <c r="O7" i="25"/>
  <c r="O4" i="25" s="1"/>
  <c r="Z2" i="25"/>
  <c r="N7" i="25"/>
  <c r="X2" i="25"/>
  <c r="Y2" i="25"/>
  <c r="U14" i="25"/>
  <c r="U6" i="25" s="1"/>
  <c r="T14" i="25"/>
  <c r="T6" i="25" s="1"/>
  <c r="S14" i="25"/>
  <c r="S6" i="25" s="1"/>
  <c r="N4" i="25" l="1"/>
  <c r="P7" i="25"/>
  <c r="R7" i="25" s="1"/>
  <c r="M3" i="25"/>
  <c r="W2" i="25"/>
  <c r="S4" i="25" l="1"/>
  <c r="T3" i="25"/>
  <c r="T4" i="25"/>
  <c r="V3" i="25"/>
  <c r="U3" i="25" l="1"/>
  <c r="U4" i="25"/>
  <c r="S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Maarja Valler</author>
    <author>Jürgen Sarmet</author>
  </authors>
  <commentList>
    <comment ref="O5" authorId="0" shapeId="0" xr:uid="{BA43223A-D5F7-4E2C-B1D0-9D9CEBB9EF6C}">
      <text>
        <r>
          <rPr>
            <b/>
            <sz val="9"/>
            <color indexed="81"/>
            <rFont val="Tahoma"/>
            <charset val="1"/>
          </rPr>
          <t>Maarja Valler:</t>
        </r>
        <r>
          <rPr>
            <sz val="9"/>
            <color indexed="81"/>
            <rFont val="Tahoma"/>
            <charset val="1"/>
          </rPr>
          <t xml:space="preserve">
Andmed on esitatud vaid juhul, kui tegemist on 2022. a jätkuobjektidega.</t>
        </r>
      </text>
    </comment>
    <comment ref="W120" authorId="1" shapeId="0" xr:uid="{D3193232-73D2-458A-9328-AB3522CA6B78}">
      <text>
        <r>
          <rPr>
            <sz val="10"/>
            <rFont val="Arial"/>
            <family val="2"/>
            <charset val="186"/>
          </rPr>
          <t>Jürgen Sarmet:
Projekteerija järelevalve. Projekt kui selline teostati erarahade eest ja anti linnale tasuta üle.</t>
        </r>
      </text>
    </comment>
  </commentList>
</comments>
</file>

<file path=xl/sharedStrings.xml><?xml version="1.0" encoding="utf-8"?>
<sst xmlns="http://schemas.openxmlformats.org/spreadsheetml/2006/main" count="1255" uniqueCount="595">
  <si>
    <t>LE</t>
  </si>
  <si>
    <t>KOKKU</t>
  </si>
  <si>
    <t>€</t>
  </si>
  <si>
    <t>Kokku</t>
  </si>
  <si>
    <t>Haridus</t>
  </si>
  <si>
    <t>Tallinna Linnateatri arendusprojekt</t>
  </si>
  <si>
    <t>Vana-Kalamaja tänava rekonstrueerimine</t>
  </si>
  <si>
    <t>Rohelinnad - GoGreenRoutes</t>
  </si>
  <si>
    <t>Põhitänavate välisvalgustuse rekonstrueerimise II etapp</t>
  </si>
  <si>
    <t>Jakob Westholmi Gümnaasiumi juurdeehitus</t>
  </si>
  <si>
    <t>Tallinna Reaalkooli juurdeehitus</t>
  </si>
  <si>
    <t xml:space="preserve">Merivälja Lasteaed </t>
  </si>
  <si>
    <t>Ülemiste terminali ja Vanasadama vaheline trammitee</t>
  </si>
  <si>
    <t>Antav sihtfinantseerimine</t>
  </si>
  <si>
    <t>Kulutuste jaotus töö liikide kaupa</t>
  </si>
  <si>
    <t>Töö liikide ajaline jaotus</t>
  </si>
  <si>
    <t>Objekti ja projekti nimetus</t>
  </si>
  <si>
    <t>Katte- allikas*</t>
  </si>
  <si>
    <t>Vastutav ameti-asutus**</t>
  </si>
  <si>
    <t>Ette-paneku esitaja</t>
  </si>
  <si>
    <t>Linnaosa</t>
  </si>
  <si>
    <t>Objekti valmimisaeg</t>
  </si>
  <si>
    <t xml:space="preserve">Kogu-maksumus***
</t>
  </si>
  <si>
    <t>Projek-teerimine</t>
  </si>
  <si>
    <t>Ehitamine</t>
  </si>
  <si>
    <t>Sisustamine</t>
  </si>
  <si>
    <t>Muud (järelevalve jm)</t>
  </si>
  <si>
    <t>Märkused (sh läbiviidud ja kavandatavad hanked)</t>
  </si>
  <si>
    <t>INVESTEERIMISTEGEVUS</t>
  </si>
  <si>
    <t>KATTEALLIKAD</t>
  </si>
  <si>
    <t>sh</t>
  </si>
  <si>
    <t>RE</t>
  </si>
  <si>
    <t>OT</t>
  </si>
  <si>
    <t>VR</t>
  </si>
  <si>
    <t>Üld</t>
  </si>
  <si>
    <t>Kaasav eelarve</t>
  </si>
  <si>
    <t>SK</t>
  </si>
  <si>
    <t>LVA</t>
  </si>
  <si>
    <t>III/2021-IV/2022</t>
  </si>
  <si>
    <t>III/2024</t>
  </si>
  <si>
    <t>Tallinna Heleni Kooli projekteerimine</t>
  </si>
  <si>
    <t>Koolide ventilatsioonide parendustööd</t>
  </si>
  <si>
    <t>HA</t>
  </si>
  <si>
    <t>Tallinna Tõnismäe Reaalkooli ventilatsiooni renoveerimine</t>
  </si>
  <si>
    <t>Koolide spordiväljakute renoveerimine, sh</t>
  </si>
  <si>
    <t>Tallinna Linnamäe Vene Lütseumi spordiväljakute parendustööd</t>
  </si>
  <si>
    <t>Mustamäe Huvikooli uus hoone</t>
  </si>
  <si>
    <t>Tallinna Huvikeskus "Kullo" uus hoone</t>
  </si>
  <si>
    <t>Tallinna Kunstikooli renoveerimine (Kevade tn 4)</t>
  </si>
  <si>
    <t>Haridusasutuste (v.a koolieelsete lasteasutuste) remonttööd, soetused ja tuleohutusnõuete täitmine</t>
  </si>
  <si>
    <t>Koolieelsed lasteasutused</t>
  </si>
  <si>
    <t>lasteaedade renoveerimine, remonttööd, soetused ja tuleohutusnõuete täitmine</t>
  </si>
  <si>
    <t>lasteaedade renoveerimine, remonttööd, soetused ja tuleohutusnõuete täitmine, sellest</t>
  </si>
  <si>
    <t xml:space="preserve">Lasteaed Maasikas </t>
  </si>
  <si>
    <t xml:space="preserve">Lasteaed Kelluke </t>
  </si>
  <si>
    <t xml:space="preserve">Tallinna Asunduse Lasteaed </t>
  </si>
  <si>
    <t xml:space="preserve">Tallinna Kristiine Lasteaed </t>
  </si>
  <si>
    <t xml:space="preserve">Tallinna Magdaleena Lasteaed </t>
  </si>
  <si>
    <t xml:space="preserve">Tallinna Männiku Lasteaed </t>
  </si>
  <si>
    <t xml:space="preserve">Tallinna Lasteaed Kikas </t>
  </si>
  <si>
    <t>Lasteaed Päikene</t>
  </si>
  <si>
    <t xml:space="preserve">Tallinna Loitsu Lasteaed </t>
  </si>
  <si>
    <t>Tallinna Lasteaed Männimudila</t>
  </si>
  <si>
    <t xml:space="preserve">Tallinna Lasteaed Karikakar </t>
  </si>
  <si>
    <t xml:space="preserve">Tallinna Lepatriinu Lasteaed </t>
  </si>
  <si>
    <t xml:space="preserve">Tallinna Linnupesa Lasteaed </t>
  </si>
  <si>
    <t xml:space="preserve">Tallinna Liikuri Lasteaed </t>
  </si>
  <si>
    <t xml:space="preserve">Tallinna Ümera Lasteaed </t>
  </si>
  <si>
    <t xml:space="preserve">Tallinna Linnamäe Lasteaed </t>
  </si>
  <si>
    <t>Tallinna Läänemere Lasteaed</t>
  </si>
  <si>
    <t>Tallinna Muhu Lasteaed</t>
  </si>
  <si>
    <t xml:space="preserve">Tallinna Veerise Lasteaia juurdeehitus </t>
  </si>
  <si>
    <t>Kultuur ja muinsuskaitse</t>
  </si>
  <si>
    <t>Tallinna Keskraamatukogu teavikute soetamine</t>
  </si>
  <si>
    <t>KSA</t>
  </si>
  <si>
    <t xml:space="preserve">Tallinna Keskraamatukogu RFID </t>
  </si>
  <si>
    <t>Vene Kultuurikeskuse renoveerimine</t>
  </si>
  <si>
    <t>Vene Kultuurikeskuse lavatehnika</t>
  </si>
  <si>
    <t>Muuseumide investeeringud</t>
  </si>
  <si>
    <t>Lastemuuseum Miiamilla (Koidula tn 21c) fassaadi remont ja ekspositsiooni uuendamine</t>
  </si>
  <si>
    <t>Peeter I majamuuseumi hoone konserveerimine ja ekspositsiooni uuendamine</t>
  </si>
  <si>
    <t>Kiek in de Kök kindlustustemuuseum kliimavitriin</t>
  </si>
  <si>
    <t>Tallinna Linnamuuseumi Vene muuseumi (Pikk tn 29) restaureerimine</t>
  </si>
  <si>
    <t>Tallinna Kirjanduskeskuse Mati Undi muuseumi ruumide soetamine</t>
  </si>
  <si>
    <t>Tallinna Linnamuuseumi muud remonttööd ja soetused</t>
  </si>
  <si>
    <t>sh IX kvartal riigieelarvest</t>
  </si>
  <si>
    <t>IX kvartal linnaeelarvest</t>
  </si>
  <si>
    <t>Mustpeade Maja investeeringud</t>
  </si>
  <si>
    <t>Tallinna Filharmoonia pillifond</t>
  </si>
  <si>
    <t>Tallinna Loomaaia tiigriorg</t>
  </si>
  <si>
    <t>Tallinna Loomaaia projekt "Pilvemets"</t>
  </si>
  <si>
    <t>KKA</t>
  </si>
  <si>
    <t>Tallinna Loomaaia investeeringud</t>
  </si>
  <si>
    <t>uus laohoone (viilhall)</t>
  </si>
  <si>
    <t>söödaköök</t>
  </si>
  <si>
    <t>troopikamaja kommunikatsioonide renoveerimine</t>
  </si>
  <si>
    <t>paksunahaliste majas asuva ninasarvikute ekspositsiooni põrandate remont</t>
  </si>
  <si>
    <t>Tallinna Botaanikaaia investeeringud</t>
  </si>
  <si>
    <t>külaliste parkla (parkimisvõimaluste laiendamine)</t>
  </si>
  <si>
    <t>vetesüsteemi rekonstrueerimine</t>
  </si>
  <si>
    <t>väliekspositsiooni rekonstrueerimine (alpinaarium, rosaarium, salikaarium)</t>
  </si>
  <si>
    <t>administratiivhoone korrastamine, sh talveaia külastuskeskuseks kohandamine</t>
  </si>
  <si>
    <t>M. Gandhi, G. Otsa, K. Pätsi, J. Krossi ja S. Dovlatovi mälestusmärkide rajamine</t>
  </si>
  <si>
    <t>Muinsuskaitsealased investeeringud</t>
  </si>
  <si>
    <t>LPA</t>
  </si>
  <si>
    <t>sh Toompea tugimüüri korrastamine</t>
  </si>
  <si>
    <t>linnamüüri korrastamine ja kujundamine</t>
  </si>
  <si>
    <t>Pirita kloostrivaremete korrastamine</t>
  </si>
  <si>
    <t>Skoone bastioni korrastamine</t>
  </si>
  <si>
    <t>Dominiiklaste kloostrikompleksi restaureerimine (Püha Katariina kiriku katuse renoveerimine)</t>
  </si>
  <si>
    <t>Maarjamäe memoriaali korrastamine</t>
  </si>
  <si>
    <t>Kopli Püha Jüri kabeli taastamise ja memoriaalala kujundamise ehitustööd (Pelguranna tn 2a)</t>
  </si>
  <si>
    <t>Nõmme Kultuurikeskuse I korruse remonttööd</t>
  </si>
  <si>
    <t>Nõmme Kultuurikeskuse fassaadi renoveerimine</t>
  </si>
  <si>
    <t>Salme Kultuurikeskuse estakaad</t>
  </si>
  <si>
    <t>Lauluväljaku investeeringud (SA Tallinna Lauluväljak)</t>
  </si>
  <si>
    <t>Muud kultuurivaldkonna asutuste remonttööd ja soetused</t>
  </si>
  <si>
    <t>Tallinna Spordihalli tervikrenoveerimine</t>
  </si>
  <si>
    <t>Kadrioru Staadioni renoveerimine ja juurdeehitus</t>
  </si>
  <si>
    <t>Tondiraba Spordikeskuse investeeringud</t>
  </si>
  <si>
    <t>jäähalli jäähooldustehnika soetamine ning valgustuse ja tehnoloogia uuendamine</t>
  </si>
  <si>
    <t>jäätehnoloogia elektrivarustuse tagava lattliini asendamine.</t>
  </si>
  <si>
    <t>spordikeskuse halli nr 2 tribüünidelt evakuatsioonitee tekitamine.</t>
  </si>
  <si>
    <t>põrandakatte vahetus spordikeskuse 0-korruse koridorides.</t>
  </si>
  <si>
    <t>Kristiine Spordimaja soojustamine ja fassaaditööd</t>
  </si>
  <si>
    <t>Punane tn 69 jalgpallihalli rajamine</t>
  </si>
  <si>
    <t>Ilmarise ekstreemspordiväljaku rajamine</t>
  </si>
  <si>
    <t>Sõle miniväljak</t>
  </si>
  <si>
    <t xml:space="preserve">Glehni pargi 5 kilomeetrisel ringil amortiseerunud valgustuse vahetus </t>
  </si>
  <si>
    <t>Terviseradade laiendamine ja hooldusremont</t>
  </si>
  <si>
    <t>Muud spordiasutuste remonttööd ja soetused</t>
  </si>
  <si>
    <t>Sotsiaalhoolekanne</t>
  </si>
  <si>
    <t>Tallinna Vaimse Tervise Keskuse Mai tn 23 hoone renoveerimine</t>
  </si>
  <si>
    <t>Käo Tugikeskuse Käo tn 53 (lastekeskus) hoone</t>
  </si>
  <si>
    <t>Käo Tugikeskus, Võidujooksu tn 18 (Pae keskus) uus hoone</t>
  </si>
  <si>
    <t>Lasnamäe Sotsiaalkeskuse investeeringud (uus hoone)</t>
  </si>
  <si>
    <t>Iru Hooldekodu õenduskodu projekteerimine ja ehitamine</t>
  </si>
  <si>
    <t>Tallinna Lastekodu imikute ja erivajadustega laste maja (Sõpruse pst 248)</t>
  </si>
  <si>
    <t>Tallinna Lastekodu miljööteraapiakodu jaoks maja soetamine</t>
  </si>
  <si>
    <t>Tallinna Lastekodu uued pereruumid kahele Nõmme perele</t>
  </si>
  <si>
    <t>Tallinna Laste Turvakeskuse ehitamine Rivi tn 3 kinnistule (2 hoonet)</t>
  </si>
  <si>
    <t>Tallinna Tugikeskuse Juks vana korpuse lammutamine ja uue korpuse ehitamine</t>
  </si>
  <si>
    <t>Sotsiaalmajutusüksuste rajamine ja soetused</t>
  </si>
  <si>
    <t xml:space="preserve"> sh Punane tn 48a</t>
  </si>
  <si>
    <t>Tallinna Perekeskuse (Asula tn 11 ) pööningu väljaehitamine ja üldseisukorra parandamine</t>
  </si>
  <si>
    <t>Linna asutuste ligipääsetavuse parendamine</t>
  </si>
  <si>
    <t>STA</t>
  </si>
  <si>
    <t>Muud sotsiaalvaldkonna asutuste remonttööd ja soetused (STA, sh Tallinna Lastekodu 245 000 €, ja linnaosad)</t>
  </si>
  <si>
    <t>Tervishoid</t>
  </si>
  <si>
    <t>Tallinna Haigla projekteerimine ja ehitus</t>
  </si>
  <si>
    <t>Tallinna Kiirabi investeeringud, sh meditsiinivarustuse soetamine</t>
  </si>
  <si>
    <t>Linnamajandus</t>
  </si>
  <si>
    <t>Lasnamäe põlvkondade maja (Punane tn 17)</t>
  </si>
  <si>
    <t xml:space="preserve">Munitsipaalelamute projekteerimine, ehitamine ja sisustamine, sh: </t>
  </si>
  <si>
    <t>Tammsaare tee 135</t>
  </si>
  <si>
    <t>Kahe sotsiaalmaja ehitamine (Vasara tn)</t>
  </si>
  <si>
    <t>Turgude arendamine</t>
  </si>
  <si>
    <t>Moodulrenoveerimise pilootprojekti (Energia tn 13) projekteerimine</t>
  </si>
  <si>
    <t>Linna hoonetel päikesepaneelide paigaldamine energiasäästu eesmärgil ja katusekonstruktsioonide ekspertiis</t>
  </si>
  <si>
    <t>Sihtasutuse Tallinna Ettevõtlusinkubaatorid uute ruumide rekonstrueerimine</t>
  </si>
  <si>
    <t>Muud linnamajanduse valdkonna asutuste remonttööd ja soetused</t>
  </si>
  <si>
    <t>Linna tugiteenused</t>
  </si>
  <si>
    <t>Tallinna kinnisvararegistri arendamine</t>
  </si>
  <si>
    <t>Tallinna Linnavolikogu Kantselei remonttööd ja soetused</t>
  </si>
  <si>
    <t>Tallinna Linnaarhiivi remonttööd ja soetused</t>
  </si>
  <si>
    <t>Ametiasutuste administratiivhoonete investeeringud</t>
  </si>
  <si>
    <t>Linnatransport</t>
  </si>
  <si>
    <t>Uute trammide soetamine (AS Tallinna Linnatransport)</t>
  </si>
  <si>
    <t>TA</t>
  </si>
  <si>
    <t>Uute busside soetamine (AS Tallinna Linnatransport)</t>
  </si>
  <si>
    <t>Ootekodade soetamine ja paigaldamine</t>
  </si>
  <si>
    <t>Teed ja tänavad</t>
  </si>
  <si>
    <t>Teede kapitaalremont ja rekonstrueerimine</t>
  </si>
  <si>
    <t>sellest LE</t>
  </si>
  <si>
    <t>Tähtsamad objektid</t>
  </si>
  <si>
    <t>Peterburi tee rekonstrueerimine</t>
  </si>
  <si>
    <t>Liivalaia tn rekonstrueerimine</t>
  </si>
  <si>
    <t>Jõe tn ja Pronksi tn</t>
  </si>
  <si>
    <t>sellest rattateed</t>
  </si>
  <si>
    <t>Rannamõisa tee (Lõuka tn - Tiskre oja sild) II etapp</t>
  </si>
  <si>
    <t>Tulika tn (Endla tn - Sõle tn) rekonstrueerimine</t>
  </si>
  <si>
    <t>Kolde puiestee (Sõle tn - Pelguranna tn)</t>
  </si>
  <si>
    <t>Rahu tee (Laagna tee - Ussimäe tee) rajamine</t>
  </si>
  <si>
    <t>Ussimäe tee kergliiklustee ja Priisle tee ristmik koos kõnniteedega</t>
  </si>
  <si>
    <t>L. Koidula tn rekonstrueerimine (J. Poska tn - L. Koidula tn 34) (Kadrioru pargi majandushoone juurdepääsutee)</t>
  </si>
  <si>
    <t>E. Bornhöhe tn rekonstrueerimine</t>
  </si>
  <si>
    <t>Kivimäe tn rekonstrueerimine</t>
  </si>
  <si>
    <t>Arte Gümnaasiumi juurdepääsutee ehitus (E. Vilde tee 62)</t>
  </si>
  <si>
    <t>Lehe tn tööd</t>
  </si>
  <si>
    <t>Mustakivi tee läbimurde keskkonnamõju hindamine</t>
  </si>
  <si>
    <t>ühistranspordirajad, -peatused ja -platvormid</t>
  </si>
  <si>
    <t>busside seisuplatside projekteerimine ja ehitus</t>
  </si>
  <si>
    <t>teekünnised</t>
  </si>
  <si>
    <t>sillad ja viaduktid</t>
  </si>
  <si>
    <t>kvartalisisesed teed ja kõnniteed</t>
  </si>
  <si>
    <t>muud objektid</t>
  </si>
  <si>
    <t>Lasnamäe rattatee ühendus kesklinnaga I ja II etapp</t>
  </si>
  <si>
    <t>Nõmme-Mustamäe maastikukaitseala terviseraja II etapi rajamine</t>
  </si>
  <si>
    <r>
      <t>Poska tänava rattateede pikendus Reidi teeni</t>
    </r>
    <r>
      <rPr>
        <sz val="11"/>
        <color rgb="FF4472C4"/>
        <rFont val="Calibri"/>
        <family val="2"/>
        <charset val="186"/>
      </rPr>
      <t xml:space="preserve">                                                            </t>
    </r>
  </si>
  <si>
    <t>raudteealused käigutunnelid (Endla tn, Paldiski mnt, Pääsküla raudteejaam, Kotka tn ja Tehnika tn vahel)</t>
  </si>
  <si>
    <r>
      <t>uute rattateede projekteerimine ja ajutiste rattateede laiendamine</t>
    </r>
    <r>
      <rPr>
        <sz val="11"/>
        <color rgb="FF4472C4"/>
        <rFont val="Calibri"/>
        <family val="2"/>
        <charset val="186"/>
      </rPr>
      <t xml:space="preserve">                        </t>
    </r>
  </si>
  <si>
    <t>muud rattataristu kulutused, sh rattaparklad</t>
  </si>
  <si>
    <t>Koolide ümbruse turvalisuse tõstmine</t>
  </si>
  <si>
    <t>Tänavavalgustuse ehitamine ja renoveerimine</t>
  </si>
  <si>
    <t>sh tänavavalgustuse (sh lasteaedade territooriumid) ehitamine ja renoveerimine</t>
  </si>
  <si>
    <t>programm "Turvaline ülekäigurada"</t>
  </si>
  <si>
    <t>LED valgustite paigaldamine tänavatel</t>
  </si>
  <si>
    <t>LED valgustite paigaldamine parkides</t>
  </si>
  <si>
    <t>LED valgustite paigaldamine lasteaedade õuealadele</t>
  </si>
  <si>
    <t>mänguväljakute valgustuse rajamine</t>
  </si>
  <si>
    <t>muud</t>
  </si>
  <si>
    <t>Tallinna ringraudtee projekteerimise kaasfinantseerimine</t>
  </si>
  <si>
    <t>Fooriobjektide rajamine</t>
  </si>
  <si>
    <t>Liikluskorraldusvahendite (elektroonilised liiklusmärgid, foorikontrollerid, fooripead, liiklusjärelevalve seadmed) ja kandurite uuendamine</t>
  </si>
  <si>
    <t>Järgnevate aastate projekteerimistööd</t>
  </si>
  <si>
    <t>Tehnovõrgud</t>
  </si>
  <si>
    <t>Ühisveevärgi ja -kanalisatsiooni ehitus</t>
  </si>
  <si>
    <t>Kanaliseerimiskava II etapp</t>
  </si>
  <si>
    <t>Ühisvoolsete kanalisatsioonisüsteemide lahkvoolseks viimine</t>
  </si>
  <si>
    <t>Trummi piirkonna looduslähedased sademevee lahendused</t>
  </si>
  <si>
    <t>Heakord</t>
  </si>
  <si>
    <t>Kadrioru Pargi investeeringud kokku</t>
  </si>
  <si>
    <t>majandushoone (L. Koidula tn 34a) projekteerimine, ehitamine, sisustamine</t>
  </si>
  <si>
    <t>tarbeaed/ürdiaed</t>
  </si>
  <si>
    <t>pargiteede korrastamine</t>
  </si>
  <si>
    <t>jaapani aed</t>
  </si>
  <si>
    <t>Löwenruh pargi rekonstrueerimine</t>
  </si>
  <si>
    <t>Pae pargi korrastamine</t>
  </si>
  <si>
    <t>Putukaväila ehitus</t>
  </si>
  <si>
    <t>Pelguranna asumisse uue haljasala ehitus (koerte jalutusväljak, koerte ujutuskoht ja laste mänguväljakud)</t>
  </si>
  <si>
    <t>Poolamäe-Tiigiveski pargiansambli rekonstrueerimine</t>
  </si>
  <si>
    <t>Õismäe tiigiala ja purskkaevu renoveerimine</t>
  </si>
  <si>
    <t>Harku järve rannaala korrastamine</t>
  </si>
  <si>
    <t>Juudi kalmistupargi rajamine</t>
  </si>
  <si>
    <t>K</t>
  </si>
  <si>
    <t>Pääsküla raba laudteede ja sildade rekonstrueerimine</t>
  </si>
  <si>
    <t>Kotkapoja tn 2b haljaku korrastamine</t>
  </si>
  <si>
    <t>E.Klasi haljaku rajamine</t>
  </si>
  <si>
    <t>Klindipargi rajamine (Tartu mnt-Pirita jõeorg)</t>
  </si>
  <si>
    <t>Õismäe tee 22a peremänguväljaku rekonstrueerimine</t>
  </si>
  <si>
    <t>Mooni tn 30d (Cederhelmi park) mänguväljaku rekonstrueerimine</t>
  </si>
  <si>
    <t>Ümera tn 21b (Seli mets) peremänguväljaku ehitus</t>
  </si>
  <si>
    <t>Räägu pargi mänguväljaku rekonstrueerimine</t>
  </si>
  <si>
    <t>Tornide väljaku mänguväljaku rekonstrueerimine</t>
  </si>
  <si>
    <t>Vabaduse pargi koguperemänguväljaku rajamine</t>
  </si>
  <si>
    <t>Pirita tee mänguala laiendamine</t>
  </si>
  <si>
    <t>Põhja-Tallinnas Vana-Kalamaja tn 15 ja Karjamaa pargi (Karjamaa tn 3) mänguväljaku rekonstrueerimine ning Angerja tn 3a kinnistule mänguväljaku projekteerimine</t>
  </si>
  <si>
    <t>mänguväljakute rajamine Jugapuu tee ja Lükati tänava haljakutele</t>
  </si>
  <si>
    <t>Pikakari mänguväljak</t>
  </si>
  <si>
    <t>P-T</t>
  </si>
  <si>
    <t>Koerte jalutus- ja treeninguväljakute rajamine ja rekonstrueerimine</t>
  </si>
  <si>
    <t>Piritale koerte jalutusväljaku ehitus (Võsa tee 26)</t>
  </si>
  <si>
    <t>Kalmistute investeeringud</t>
  </si>
  <si>
    <t>kalmistute piirete, teede, veetrasside ja muu taristu rajamine ja korrastamine</t>
  </si>
  <si>
    <t>Liiva kalmistu piirdeaia korrastamine</t>
  </si>
  <si>
    <t>Rahumäe kalmistu piirdeaia rekonstrueerimine</t>
  </si>
  <si>
    <t>Hiiu-Rahu kalmistu aia rekonstrueerimine</t>
  </si>
  <si>
    <t>Siselinna kalmistu piirdeaia rekonstrueerimine</t>
  </si>
  <si>
    <t>Siselinna kalmistu kolumbaariumi ehitamine</t>
  </si>
  <si>
    <t>Liiva kalmistu halduskeskuse ühendamine linna kanalisatsiooniga</t>
  </si>
  <si>
    <t>Linnamööbli soetamine (prügikastid, pingid jm)</t>
  </si>
  <si>
    <t xml:space="preserve">Järveotsa promenaad, turg ning näituste ala </t>
  </si>
  <si>
    <t>Aegna Loodusmaja uue nullenergiahoone projekteerimine, ehitamine ning sisustamine</t>
  </si>
  <si>
    <t xml:space="preserve">Lipuheiskamise väljaku projekteerimine </t>
  </si>
  <si>
    <t>Avaliku uisuväljaku rajamine Õismäele</t>
  </si>
  <si>
    <t>Ringmajanduskeskuste ehitamine ja soetused</t>
  </si>
  <si>
    <t>sh uute ringmajanduskeskuste rajamine (Punane tn ja Mustjõe)</t>
  </si>
  <si>
    <t>Keskkonnakaitse</t>
  </si>
  <si>
    <t>* Katteallikad:</t>
  </si>
  <si>
    <t>LE – linnaeelarve vahendite arvelt tehtavad kulutused, sisaldavad ka võetavat laenu</t>
  </si>
  <si>
    <t>OT – omatulude arvelt tehtavad kulutused</t>
  </si>
  <si>
    <t>RE – riigieelarve vahenditest tehtavad kulutused</t>
  </si>
  <si>
    <t>VR – välisrahastuse arvelt tehtavad kulutused</t>
  </si>
  <si>
    <t>HA - Tallinna Haridusamet</t>
  </si>
  <si>
    <t>KSA- Tallinna Kultuuri- ja Spordiamet</t>
  </si>
  <si>
    <t>KKA- Tallinna Keskkonna- ja Kommunaalamet</t>
  </si>
  <si>
    <t>LPA - Tallinna Linnaplaneerimise Amet</t>
  </si>
  <si>
    <t>LVA - Tallinna Linnavaraamet</t>
  </si>
  <si>
    <t>SK - Tallinna Strateegiakeskus</t>
  </si>
  <si>
    <t>STA - Tallinna Sotsiaal- ja Tervishoiuamet</t>
  </si>
  <si>
    <t>TA - Tallinna Transpordiamet</t>
  </si>
  <si>
    <t>K - Tallinna Kesklinna Valitsus</t>
  </si>
  <si>
    <t>P-T - Põhja-Tallinna Valitsus</t>
  </si>
  <si>
    <t>*** Kogumaksumus on ilma sisendkäibemaksuta.</t>
  </si>
  <si>
    <t>**** Eelarve täitmisel on õigus muuta summade jaotust positsiooni üldsumma piires.</t>
  </si>
  <si>
    <t>Kogumaksumus kokku</t>
  </si>
  <si>
    <t>2022 kokku</t>
  </si>
  <si>
    <t>2022 esialgne eelarve</t>
  </si>
  <si>
    <t>KL</t>
  </si>
  <si>
    <t>II/2022-III/2023</t>
  </si>
  <si>
    <t>III/2023-IV/2024</t>
  </si>
  <si>
    <t>I/2025</t>
  </si>
  <si>
    <t>Ideekonkurss on läbi viidud ning võtja on selgunud. Toimub väljakuulutamiseta läbirääkimistega hankemenetlus ning 2022. aasta II kvartalis projekteerimislepingu sõlmimine. Kogumaksumus on tõstetud 18 200 000 eurole ehitushindade tõusu tõttu.</t>
  </si>
  <si>
    <t>Toimub ideekonkurss, võitja selgub 2022. aasta aprillis. 2022. aasta II kvartalis toimub projekteerimislepingu sõlmimine. Kogumaksumus on tõstetud 21 700 000 eurole ehitushindade tõusu tõttu.</t>
  </si>
  <si>
    <t>PT</t>
  </si>
  <si>
    <t>III/2022-IV/2023</t>
  </si>
  <si>
    <t>II/2024-III/2025</t>
  </si>
  <si>
    <t>IV/2025</t>
  </si>
  <si>
    <t xml:space="preserve">2022. aasta vahendid on projekteerimiseks, kogumaksumuse suurendamise ettepanek sisaldab ehitusmaksumust. Projekteerimishange avaldatakse II kvartalis 2022. aastal. Projekteeritava hoone netopind on 7000 m2. </t>
  </si>
  <si>
    <t>Hanke maksumus ületas oluliselt varasemat planeeritud renoveerimise maksumust. Täiendavad kulutused esialgse projekti parandamisele ja sellest tulenevalt ka täiendavad kulud ehitustöödele ja materjalidele.</t>
  </si>
  <si>
    <t>MM</t>
  </si>
  <si>
    <t>III/2020-II/2021</t>
  </si>
  <si>
    <t>IV/2021-II/2023</t>
  </si>
  <si>
    <t>II/2023</t>
  </si>
  <si>
    <t>Projekteerimine on lõpetatud ning alustatud ehitustöödega. Seoses tarneraskustega valmib objekt I-II kvartalis 2023. aastal. Sisustamine toimub 2023. aastal.</t>
  </si>
  <si>
    <t>III/2023-I/2025</t>
  </si>
  <si>
    <t>Ideekonkursi tulemused selguvad 11.03.2022. Seejärel sõlmitakse projekteerimisleping. Projekt valmib 2023. aasta III kvartalis, ehitus 2025. aasta I kvartalis. Kogumaksumus on tõstetud 24 000 000 eurole ehitushindade tõusu tõttu.</t>
  </si>
  <si>
    <t>II/2021-II/2022</t>
  </si>
  <si>
    <t>III/2022-III/2023</t>
  </si>
  <si>
    <t>III/2023</t>
  </si>
  <si>
    <t>Projekteerimishange on läbi viidud ning leping sõlmitud. Projekti tähtaeg 21.05.2021.
Ehitushange ja OJV hange plaanitakse läbi viia 2022. aasta suvel.</t>
  </si>
  <si>
    <t>Ilmselt on kulud vajalikud ka eelseisval perioodil, kuigi Haridusamet vastavat taotlust ei esitanud.</t>
  </si>
  <si>
    <t>KR</t>
  </si>
  <si>
    <t>Ehituslepingu kohaselt valmib 2022. aastal</t>
  </si>
  <si>
    <t>P</t>
  </si>
  <si>
    <t>IV/2020-III/2021</t>
  </si>
  <si>
    <t>IV/2021-IV/2022</t>
  </si>
  <si>
    <t>IV/2022</t>
  </si>
  <si>
    <t>Projekteerimine on lõpetatud ning alustatud on ehitustöödega. Objekt valmib 2022. aasta novembris.</t>
  </si>
  <si>
    <t>III/2020-I/2022</t>
  </si>
  <si>
    <t>II/2022-IV/2023</t>
  </si>
  <si>
    <t>IV/2023</t>
  </si>
  <si>
    <t>Ehitushange on läbi viidud ja lepingu sooviks sõlmida hiljemalt märtsi lõpus 2022. aastal. Sisutushange on välja kuulutamata. Objekt valmib 2023. aasta novembris. Kogumaksumus on tõstetud 9 250 000 eurole ehitushindade tõusu tõttu.</t>
  </si>
  <si>
    <t>III/2021-III/2022</t>
  </si>
  <si>
    <t>Toimuvad ehitustööd. Sisutushange on välja kuulutamata. Objekt valmib november 2022.</t>
  </si>
  <si>
    <t>L</t>
  </si>
  <si>
    <t>Ehitus on töös. Sisutushange on välja kuulutamata. Objekt valmib november 2022.</t>
  </si>
  <si>
    <t>IV/2022-I/2024</t>
  </si>
  <si>
    <t>I/2024</t>
  </si>
  <si>
    <t>Projekteerimine kobarhankes teiste Kristiine linnaosa lasteaedadega. Projekteerimine on lõpusirgel, tööprojekt valmib 30.06.2022. Ehitusega alustatakse 2022. aasta lõpus sõltuvalt asenduspindade vabanemisest Kristiine linnaosas (Vindi lasteaed). Kogumaksumus on tõstetud 9 220 000 eurole ehitushindade tõusu tõttu.</t>
  </si>
  <si>
    <t>IV/2022-IV/2023</t>
  </si>
  <si>
    <t>N</t>
  </si>
  <si>
    <t>Projekteerimishange läbiviidud, ekspertiisi läbinud tööprojekti valmimise tähtaeg 2022. aasta aprill, ehitustöödega alustatakse 2022. aasta sügisel. Kogumaksumus on tõstetud 8 590 000 eurole ehitushindade tõusu tõttu.</t>
  </si>
  <si>
    <t>M</t>
  </si>
  <si>
    <t>II/2022-II/2023</t>
  </si>
  <si>
    <t>IV/2024</t>
  </si>
  <si>
    <t>Projekteerimishanke menetlus pooleli. Kogumaksumus on tõstetud 8 450 000 eurole ehitushindade tõusu tõttu.</t>
  </si>
  <si>
    <t>Ideekonkurss kuulutatakse välja 2022. aasta aprillis. Tulemused selguvad 2022. aasta augustis. Ehitustöödega alustatakse 2023. aasta III kvartalis. Kogumaksumus on tõstetud 8 500 000 eurole ehitushindade tõusu tõttu.</t>
  </si>
  <si>
    <t>Projekteerimishanke menetlus pooleli. Kogumaksumus on tõstetud 9 300 000 eurole ehitushindade tõusu tõttu.</t>
  </si>
  <si>
    <t>Tööprojekt valmib 2022. aasta juunis. Ehitustöödega alustatakse 2023. aasta sügisel. Kogumaksumus on tõstetud 7 050 000 eurole ehitushindade tõusu tõttu.</t>
  </si>
  <si>
    <t>H</t>
  </si>
  <si>
    <t>2025</t>
  </si>
  <si>
    <t>III/2021-I/2022</t>
  </si>
  <si>
    <t>III/2024-IV/2025</t>
  </si>
  <si>
    <t>Projekteerimine kobarhankes teiste Haabersti linnaosa lasteaedadega. Projekteerimine on lõpusirgel.</t>
  </si>
  <si>
    <t>2026</t>
  </si>
  <si>
    <t>III/2021-II/2022</t>
  </si>
  <si>
    <t>II/2025-III/2026</t>
  </si>
  <si>
    <t>III/2026</t>
  </si>
  <si>
    <t>Projekteerimine kobarhankes teiste Kristiine linnaosa lasteaedadega. Projekteerimine on lõpusirgel, tööprojekt valmib 30.06.2022.</t>
  </si>
  <si>
    <t>2027</t>
  </si>
  <si>
    <t>II/2026-III/2027</t>
  </si>
  <si>
    <t>III/2027</t>
  </si>
  <si>
    <t>Projekteerimine kobarhankes teiste Kristiine linnaosa lasteaedadega. Projekt valmib 2022 lõpuks.</t>
  </si>
  <si>
    <r>
      <t xml:space="preserve">Tallinna Meelespea Lasteaed </t>
    </r>
    <r>
      <rPr>
        <sz val="8"/>
        <color rgb="FFFF0000"/>
        <rFont val="Arial"/>
        <family val="2"/>
        <charset val="186"/>
      </rPr>
      <t>(2023 lisaobjekt?)</t>
    </r>
  </si>
  <si>
    <t>II/2023-III/2024</t>
  </si>
  <si>
    <t>Ehitamishanke saab välja kuulutada finantsvahendite olemasolul juba 2022. aasta III kvartalis. Kogumaksumus on tõstetud 8 590 000 eurole ehitushindade tõusu tõttu.</t>
  </si>
  <si>
    <t>III/2022-II/2024</t>
  </si>
  <si>
    <t>III/2026-IV/2027</t>
  </si>
  <si>
    <t>IV/2027</t>
  </si>
  <si>
    <t>Projekteerimishanke menetlus pooleli.</t>
  </si>
  <si>
    <t>III/2025-IV/2026</t>
  </si>
  <si>
    <t>IV/2026</t>
  </si>
  <si>
    <r>
      <t xml:space="preserve">Tallinna Sõbrakese Lasteaed </t>
    </r>
    <r>
      <rPr>
        <sz val="8"/>
        <color rgb="FFFF0000"/>
        <rFont val="Arial"/>
        <family val="2"/>
        <charset val="186"/>
      </rPr>
      <t>(2024 lisaobjekt)</t>
    </r>
  </si>
  <si>
    <t>2024</t>
  </si>
  <si>
    <t>Projekteerimishanke menetlus pooleli. Kogumaksumus on tõstetud 8 400 000 eurole ehitushindade tõusu tõttu.</t>
  </si>
  <si>
    <t>Toimub projekteerimishanke ettevalmistamine. Võimalus on suurendada lasteaia kinnistut, mille tulemusena saab projekteerida ja ehitada suuremat juurdeehitust. Toimub juurdeehituse võimaluste täpsustamine.</t>
  </si>
  <si>
    <t>Plaanitakse kasutada:                 2022. aastal 694 632 €;                      2023. aastal 452 920 €;             2024. aastal 155 760 €.              2023 ja 2024 summad on praegu planeeritavad ja sõltuvad Punane 17 hoone valmimisest. Et kui see raamatukogu läheb 2023 käiku, siis hangitakse need seadmed 2023, aga kui mitte, siis lükkuvad 2024. aastasse</t>
  </si>
  <si>
    <t>II /2023-IV/2023</t>
  </si>
  <si>
    <t>II -IV 2022</t>
  </si>
  <si>
    <t>II-IV 2022</t>
  </si>
  <si>
    <t xml:space="preserve">Ekspositsiooni uuendamine on 331 000 eurot (sisustuse real) ja seda viib läbi Linnamuuseum. </t>
  </si>
  <si>
    <t>LVA ja KSA kokkuleppel teostab töid Linnamuuseum. Peeter I majamuuseumi fassaaditööd (krohviparandused ja värvimine) ja sisetööde projekteerimine 2022. aastal ning siseviimistlustööd ja ekspositsiooni täiendus 2023 aastal</t>
  </si>
  <si>
    <t>Kiek in de Kök kindlustustemuuseumi ekspositsiooni uuendus (projekteerimine 2022 ja ehitus 2023) - Köki 2., 3. ja 4. korruse ekspositsiooni säilitusprobleemide lahendamine, tolmuvaba ja kliimakindla ekspositsiooni loomine, et unikaalsete museaalide säilivus Köki keerulistes klimaatilistes tingimustes</t>
  </si>
  <si>
    <t>Vene muuseumi hoone ja sepikoja projekteerimine 2022. aastal ja konserveerimine 2023-2024. aastatel</t>
  </si>
  <si>
    <t xml:space="preserve"> (2022. aastal Neitsitorni kohvikuruumide turnikeede (4 tk) ning kassale turvakardina paigaldamine - 31 000 €; Bastioni käikude turvalisuse tõstmiseks lisavalgustus ja valvekaamerate paigaldus - 30 000 €):  Muuseumipoodide (Vene 17 ja Kindlustustemuuseum) projekteerimine ja ehitus; Kliima logerite soetus</t>
  </si>
  <si>
    <t>valmis</t>
  </si>
  <si>
    <t>I/2021- III/2023</t>
  </si>
  <si>
    <t xml:space="preserve">II/2023-I/2024 </t>
  </si>
  <si>
    <t>2022. aastat ei täpsusta, 2023. aastal võib minna vaja lisarahastust. Riigi ja linna jaotust ei oska prognoosida. Kogumaksumus on tõstetud 29 898 000 eurole ehitushindade tõusu tõttu.</t>
  </si>
  <si>
    <t>I/2021-II/2022</t>
  </si>
  <si>
    <t>I/2023-III/2024</t>
  </si>
  <si>
    <t>2022. aastal kaks viiulit ja 2023. aastal vioola ja tšello. Olenevalt, millal ja mis instrumendid sobivad leitakse, võib see plaan muutuda (nt kui 2022 leitakse sobiv viiul ja tšello, siis soetame need ning 2023. aastal vioola ja viiuli) aga hetkel on selline prioriteetide järjekord.</t>
  </si>
  <si>
    <t>05.2022-11.2023</t>
  </si>
  <si>
    <t>2019. aastal läbiviidud projekteerimise hange, 2020. aastal korraldatud ehituse ja omanikujärelevalve hanke pakkumused ületasid eeldatavad maksumust ning need lükati tagasi. 21.01.2021 kuulutati välja uus ehitushange, ilma kohviku hooneta. Pakkumused ületasid eeldatavat maksumust ja tehti otsus, et projektiga jätkatakse 2022. aastal. Hetkel on avaldatud kolmas ehitushange. Seoses ehitusmaterjalide järjekordse kallinemisega (Ukraina sõja algusest on ehitusmetall oluliselt kallinenud ja antud objekti puhul on vajalik eriti suur metalli kogus) on ettepanek suurendada kogumaksumust 600 000 euro võrra.</t>
  </si>
  <si>
    <t>Projekt valmib juunis 2022. Peale seda korraldatakse ehitushange ja teostatakse rajamine.</t>
  </si>
  <si>
    <t>2022 II kv toimub hange ehitaja leidmiseks. III-IV kv toimuvad ehitustööd.</t>
  </si>
  <si>
    <t>Plaanitud on rosaariumi täielik rekonstrueerimine peale vetesüsteemi III etapi lõppemist. 2022 II kv toimub hange ehitaja leidmiseks. III-IV kv toimuvad ehitustööd. 2023 rosaariumi lõpetamine 200 000 €; remondijärgne teedevõrgu taastamine 200 000 €.</t>
  </si>
  <si>
    <t>III kvartal 2022-III kvartal 2023</t>
  </si>
  <si>
    <t>IV kvartal 2023</t>
  </si>
  <si>
    <t>Projekt on valmis. Ehitushange avaldatakse II kvartalis 2022. Projekteeritud lahendusest tulenevalt on vajalik kogumaksumuse suurendamine. Kogumaksumuse suurendamisel on arvestatud ehitushindade kallinemist.</t>
  </si>
  <si>
    <t>2024-2025</t>
  </si>
  <si>
    <t>K.Päts, J.Kross valmis 2022, Gandhi sõltub Välisministeeriumi tegevusest, S.Dovlatov, G.Ots 2023-2024</t>
  </si>
  <si>
    <t xml:space="preserve">2023.a plaanitakse tugimüüri restaureerimist Pika jala all-linna poolsel küljel, mille maksumus on ca 150 000 eurot (tegevuskava koostamine 2022.a.) ning Kitseaia juures. 2024.a kavandatakse tugimüüride restaureerimist Komandandi aias, sh Toompea tänava ääres (tegevuskava koostamine 2022.a) ning Pilstickeri torni kõrval koos Pilstickeri trepiga (maksumus ca 150 000). 2025.a alustatakse Toompea tugimüüri jalgradade rekonstrueerimist Toompargis. </t>
  </si>
  <si>
    <t>Ingeri bastioni restaureerimise maksumuseks on 2021.a hinnatud ligi 400 000 eurot ning Rootsi bastioni ja Hirvepargi tugimüüride restaureerimise maksumuseks ligi 650 000 eurot.</t>
  </si>
  <si>
    <t>2021.a koostati tegevuskava varemete kiriku- ja lõunaosa restaureerimiseks, mille eelarveks arvestati 1,3 miljonit eurot.</t>
  </si>
  <si>
    <t xml:space="preserve">Seoses ehitushindade kasvuga hinnatakse II etapi maksumuseks 400 000 eurot (2022-2023) ja III etapi maksumuseks 450 000 eurot (2023-2024). Järgnevate ehitusetappide (IV ja V, 2025.-2026.a) maksumuseks hinnatakse 450 000 eurot. </t>
  </si>
  <si>
    <t>2022- projekteerimine, edasine tegevuse graafik peale maade küsimuse lahendamist riigiga</t>
  </si>
  <si>
    <t>IV/2021-III/2022</t>
  </si>
  <si>
    <t>III/2022</t>
  </si>
  <si>
    <t>Projekteerimine on lõppenud. Ehitushange on läbi viidud ja ehitustegevus käib. Objekt valmib 2022. aasta suvel.</t>
  </si>
  <si>
    <t>II/2022-III/2022</t>
  </si>
  <si>
    <t>II/2023l-IV/2023</t>
  </si>
  <si>
    <t>Projekteerimiseks hange avaldatakse 2022. aasta I kvartalis. Ehitamine toimub 2023. aastal suvel.</t>
  </si>
  <si>
    <t>05.2022-07.2022</t>
  </si>
  <si>
    <t>-</t>
  </si>
  <si>
    <t>2022. aastal jätkatakse 2021. aasta suvel pooleli jäänud fassaadi rekonstrueerimistöödega, kuna ilmnes suures ulatuses puitkonstruktsioonide niiskuskahjustusi ja lisatöödega täitus lepingu maht. Uus hange avaldatakse 2022. aasta I kvartalis ning lõpetatakse ehitustööd.</t>
  </si>
  <si>
    <t>I kvartal 2022</t>
  </si>
  <si>
    <t>II -III kvartal 2022</t>
  </si>
  <si>
    <t>Alustatud on ehitustööde ja OMJ hanke korraldamisega. Ehitustööde teostamise aeg mai - juuli 2022. Täiendavate investeeringute vajadus seoses ehitusturu hindade tõusuga.</t>
  </si>
  <si>
    <t xml:space="preserve">Tegemist hallatavate asutuste üldinvesteeringutega. Summa eelarvestrateegias iga-aastaselt arvestatud. </t>
  </si>
  <si>
    <t>2022 märsis viiakse läbi projekteerimine, aug.2022 alustatakse ehitustöödega. Eelduste kohaselt objekt valmib 2023 septembris. (2020-2021 hange ebaõnnestus ja objekti ei saa uuesti ülekantavaks teha, seega planeerime 2023 lisavahendeid)</t>
  </si>
  <si>
    <t>II/2020-II/2022</t>
  </si>
  <si>
    <t>IV2023</t>
  </si>
  <si>
    <t>II/2022-IV/2022</t>
  </si>
  <si>
    <t xml:space="preserve">Projekteerimistööd olid 2021. aastal. Ehituhange on avaldatud. Ehitusega alustatakse II kvartalis 2022. Kogumaksumust suurendatakse 190 000 eurot seoses ehitushindade kallinemisega. </t>
  </si>
  <si>
    <t>LM</t>
  </si>
  <si>
    <t>II/2023- III/2024</t>
  </si>
  <si>
    <t>II/2020-III/2021</t>
  </si>
  <si>
    <t>Toimuvad ehitustööd. Ehitus lõppeb 2022. aasta juulis, millele järgneb sisustamine. Sisustushange on plaanis välja kuulutada 2022. aasta II kvartalis. 500 000 on kättesaamata kogumaksumus (vähendati 2022 aasta eelarvet, kuid 2022 aasta eelarve jäi sama summa võrra suurendamata). Palume selle võrra suurendada 2022. aasta eelarvet.</t>
  </si>
  <si>
    <t>IV/2020-III/2022</t>
  </si>
  <si>
    <t>Ehituslepingu allkirjastati 2020. aasta novembris. Hetkel on ehitustööd pooleli ja valmib juunis 2022. Sisustamine toimub 2022. aasta III kvartalis.</t>
  </si>
  <si>
    <t>I/2022</t>
  </si>
  <si>
    <t>II/2023-IV/2023</t>
  </si>
  <si>
    <t>2022. aastal alustatakse projekteerimisega ning 2023. aastal korraldatakse ehituse- ja omanikujärelevalve ning sisustamise hanked.</t>
  </si>
  <si>
    <t>ML</t>
  </si>
  <si>
    <t>III/2023-II/2024</t>
  </si>
  <si>
    <t>Väärtuspõhise projekteerimishanke avaldame hiljemalt II kvartal 2022. Ehitushange korraldatakse 2023. aastal.</t>
  </si>
  <si>
    <t>2021. aastal korraldati projekteerimishange ning 2022. aastal korraldatakse ehituse- ja omanikujärelevalve hanked. 2023. aastal korraldatakse sisustamise hange.</t>
  </si>
  <si>
    <t xml:space="preserve">Projekteerimise hange kuulutatakse välja II kvartal 2022 ja projekteerimine jätkub 2023. aastal. </t>
  </si>
  <si>
    <t xml:space="preserve">Remonttööd planeeritakse iga-aastaselt erinevate LVA valitsemisel olevate STA hoonete lõikes, prioriteediks on investeeringute tegemine energiatõhususe saavutamiseks (valgustite vahetus) ja küttekulude kokkuhoiuks. Samuti on vajalik ka amortiseerunud tehnosüsteemide uuendamine/rekonstrueerimine. </t>
  </si>
  <si>
    <t>2022-2026</t>
  </si>
  <si>
    <t>I/2021- I/2022</t>
  </si>
  <si>
    <t>Projekteerimisel. Ehitusega alustatakse 2022. aasta suvel ja valmib koos sisustusega 2023. aastal. Kogumaksumust suurendatud ehitushindade suurenemise tõttu.</t>
  </si>
  <si>
    <t>Projekteerimisel. Ehitusega alustatakse III kvartalis 2022 ja hoone valmib koos sisustusega 2023. aastal. Kogumaksumust suurendatud ehitushindade suurenemise tõttu.</t>
  </si>
  <si>
    <t>III/2022-II/2023</t>
  </si>
  <si>
    <t>Hetkel toimub lähteülesande koostamine. Projekteerimishange avaldatakse 2022. aastal ja projekteerimine jätkub osaliselt 2023. aastal.</t>
  </si>
  <si>
    <t>III/2022-III2023</t>
  </si>
  <si>
    <t>IV/2023-III/2024</t>
  </si>
  <si>
    <t>Hetkel toimub lähteülesande koostamine. Projekteerimishange avaldatakse 2022. aastal ja projekteerimine jätkub 2023. aastal.</t>
  </si>
  <si>
    <t>II/2022</t>
  </si>
  <si>
    <t>Auditi hange on välja kuulutatud. Projekteerimine ja ehitamine toimub 2022. aastal koos.</t>
  </si>
  <si>
    <t>Punane 36 rekonstrueerimine osutus projekteerimise käigus planeeritust kallimaks. LVA on soovitanud antud objekti lammutada ja rajada antud krundile kaasaegne lahendus. Hetkel projekteerimises olevat remonttööde lahenduse kogusummat on tõstetud seoses ehitushindade tõusuga.</t>
  </si>
  <si>
    <t>Vastavalt hanke tulemustele. 2027 jääb maksta 6 270 000 €.</t>
  </si>
  <si>
    <t>Võimaliku välisrahastuse kohta info puudub</t>
  </si>
  <si>
    <t>2022. aasta eelarves sihtfinantseeringu ja tegeliku maksumuse vahe.</t>
  </si>
  <si>
    <t>Ühistranspordipeatustesse reaalaja infotabloode ja uut tüüpi (elektrooniliste) sõiduplaanide paigaldamine</t>
  </si>
  <si>
    <t>Juhul kui suur ootekodade, välitualettide jms soetuse ja hoolduse RH nurjub on vaja 2023.a ja edaspidigi eelarves ette näha vahendid ootekodade soetamiseks ja paigaldamiseks.</t>
  </si>
  <si>
    <t>2025-2026</t>
  </si>
  <si>
    <t>2021-2023</t>
  </si>
  <si>
    <t>2023-2025</t>
  </si>
  <si>
    <t>Riigihange menetluses</t>
  </si>
  <si>
    <t>Proj.lep. 741 597,60 €, sh VR 390 000 €, tähtaeg 11.2021. Projekteerimis-ehitushankes arvestatud VR 70% ja OF 30% vastavalt MKM suunistele. Projekteerimise töövõtuleping nr 3108201/TKA595 Vanasadama ja Rail Balticu Ülemiste reisiterminali ühendava trammiliini rajamise eelprojekti koostamiseks sõlmiti 1. septembril 2020 valmimistähtajaga 14 kuud (1.11.2021). Kuna ettevalmistustööd olid eeldatust ajamahukamad ning eelprojekt ei valminud 31. detsembriks 2020, algatati MKM poolt koostöölepingu 1595 Lisa 7, millega pikendati eelprojekti tähtaega kuni 1.11.2021. Koostöölepingu lisa 7 sõlmiti 31.12.2020. Rahastuse plaan pärineb 2021.kevade materjalidest</t>
  </si>
  <si>
    <t>Objektil tööd alustatud</t>
  </si>
  <si>
    <t>Riigihange välja kuulutamisel</t>
  </si>
  <si>
    <t>2023-2024</t>
  </si>
  <si>
    <t>2022-projekteerimine</t>
  </si>
  <si>
    <t>Objekt valmib 2022</t>
  </si>
  <si>
    <t>Ehitusluba aastal 2022, ehitustegevused 2023-2024</t>
  </si>
  <si>
    <t>Objekti projekteerimine alustatud 2021</t>
  </si>
  <si>
    <t>Pikema perioodi jätku tegevus, kogumaksumus on oluliselt suurem kui näidatud</t>
  </si>
  <si>
    <t>2023 Teelise, Sõjamäe, Kolde, Äigrumäe, Viimsi, Muuga; 2024 Kärberi; 2025 Punane; 2026 Kurina seisuplats.</t>
  </si>
  <si>
    <t>Tegevust ei tohi katkestada, mõju hilisematele investeeringutele on oluline</t>
  </si>
  <si>
    <t>2022-2024</t>
  </si>
  <si>
    <t>2022- 2030</t>
  </si>
  <si>
    <t>Lepingud sõlmitud, tööd toimuvad</t>
  </si>
  <si>
    <t>Tegemist jätkutegevustega, osades alapunktides on projekteerimine, lepingute sõlmimine jne</t>
  </si>
  <si>
    <t>Vastavalt graafikule, kaasfinantseerimine 6.aasta vältel</t>
  </si>
  <si>
    <t>Foorikontrollerite soetus ja paigaldus, avariiliste kandurite, portaalide, konsoolide soetus ja paigaldus</t>
  </si>
  <si>
    <t xml:space="preserve">Igal aastal peab olema TTA-l eelarves eelolevate aastate inv.objektide projekteerimiseks eelarvevahendid. </t>
  </si>
  <si>
    <t>Vastavalt projektide loetelule</t>
  </si>
  <si>
    <t>Vastavalt laekuvatele taotlustele</t>
  </si>
  <si>
    <t>Esmased tegevused</t>
  </si>
  <si>
    <t>III kvartal 21</t>
  </si>
  <si>
    <t>II kvartal 22-III kvartal 23</t>
  </si>
  <si>
    <t>III kvartal 23</t>
  </si>
  <si>
    <t xml:space="preserve">2022 veebruaris lõppes ehitushange. Ehitustööde leping sõlmimisel. Ehitus planeeritud 2022. aasta  II kvartal - 2023. aasta III kvartal. Ekslikult oli kavandatud eelarve ilma käibemaksuta. Lisasime käibemaksu kulu ning täiendava hinnatõusu.  </t>
  </si>
  <si>
    <t>2023 - 2024</t>
  </si>
  <si>
    <t>2022 veebruaris taotleti muinsuskaitse eritingimuste uuendamist, millele järgneb projekteerimistingimuste taotlemine ja projekteerimine</t>
  </si>
  <si>
    <t>2022 - 2025</t>
  </si>
  <si>
    <t>jätk 2021</t>
  </si>
  <si>
    <t>2022 veebruaris taotleti muinsuskaitse eritingimused, millele järgneb projekteerimistingimuste taotlemine ja projekteerimine</t>
  </si>
  <si>
    <t>2022- ettevalmistustööd</t>
  </si>
  <si>
    <t>2022 aasta projekteerimine ja ehitus</t>
  </si>
  <si>
    <t>objekt valmid 2022 (LOV tegevused)</t>
  </si>
  <si>
    <t>Kakumäe-Tabasalu laudtee projekteerimine ja ehitamine</t>
  </si>
  <si>
    <t>2022- ettevalmistavad tegevused</t>
  </si>
  <si>
    <t>2022- projekteerimine, ekspertiis, võimalusel ehitushange ja töödega alustamine</t>
  </si>
  <si>
    <t>Objekt valmib 2022 (teostab LOV)</t>
  </si>
  <si>
    <t>2022 - 2024</t>
  </si>
  <si>
    <t>projekt valmib I kv 2022, mille järel tuleb ehitushange</t>
  </si>
  <si>
    <t>2022 - 2023</t>
  </si>
  <si>
    <t>projekt valmib II kv 2022, mille järel tuleb ehitushange</t>
  </si>
  <si>
    <t>ostumenetlus II kv 2022, mille järel  aia rekonstrueerimine</t>
  </si>
  <si>
    <t>projekteerimine III kv 2022</t>
  </si>
  <si>
    <t>2022-2023</t>
  </si>
  <si>
    <t>Objekt valmib 2022. Haabersti LOVI ettepanek on promenaadi jätkamine alates Järveotsa tee 15a-st kuni Paldiski mnt-ni.</t>
  </si>
  <si>
    <t>2022- projekteerimine, 2023 ehitus.</t>
  </si>
  <si>
    <t>10 asukohta igasse 3 eri liigi jaoks mahutid, arheoloogilised kaevamised, süvakogumismahutite paigutus, ideekonkurss</t>
  </si>
  <si>
    <t>Tööprojekt valmib 2022. aasta juunis. Ehitustöödega alustatakse 2022. aasta sügisel ning lõpetatakse 2023. aasta lõpus. Kogumaksumus on tõstetud 5 600 000 eurole ehitushindade tõusu tõttu.</t>
  </si>
  <si>
    <t>Ideekonkurss kuulutatakse välja augustis 2022. aastal. Tulemused teada 2022. aasta detsembris.</t>
  </si>
  <si>
    <t>Vajalik suurendada jooksvalt, eksemplaarsus on vähenenud, 10 aastat e-raamatud olnud, samuti lisanduvad audioraamatud kallid.(2022.a LK tulu 15 000 €)</t>
  </si>
  <si>
    <t>II kvartalis 2022. aastal koostatakse audit. Projekteerimine toimub 2022. aasta IV kvartalis ning ehitamine II-IV kvartalis 2023. aastal. Vastavalt projektile võib vaja minna lisarahastust, tänast üldist olukorda arvestades on raske prognoosida, täpsemalt selgub peale auditi koostamist.</t>
  </si>
  <si>
    <t xml:space="preserve">Aastaks 2022 planeeritakse portaalide akustiliste süsteemide uuendamist.  Samuti soovitakse uuendada 2022 aastal suure saali lavavalgustust ja lavakardinaid ja külgsofiidid. </t>
  </si>
  <si>
    <t>250 000 € aastas on hoone esinduslikuna hoidmise kulud ja väiksemad remonttööd (uste, akende restaureerimine jne). Mustpeade Majal on kohe valmimas tehnosüsteemide restaureerimise projekt, aga puudub rahastus ehitustööde teostamiseks. Eelarvestrateegias on kajastatud hoone rekonstrueerimise kulud.</t>
  </si>
  <si>
    <t xml:space="preserve">Läbiviidud on hange "Kadrioru Staadioni hoonete ja rajatiste ning maa-ala projekteerimine" ja projekteerimise projekti juhtimise teenuse osutamine. 2021 valmis esimene osa staadioni planeeritud töödest. Täitmine kuni 2021 aastani on kokku 1 023 024 € (sh 2020 a. 365 059 €; 2021 a 657 965 €). Jätkub staadioni tervik renoveerimine sh 2022 on kavas  alustada valgustuseprojekti hanke ettevalmistusega. Strateegias 2025 ja 2026 aastaks planeeritavaid summasi hetkel ei lisata, kuna projekteerimine ja eritingimused ei ole lõplikult paigas. Eelduste kohaselt 2025 aastal lisandub elektroonika, seadmete, sisutuse jpm. Asjade soetamiste kulud. Oluline on märkida, et Kadrioru Staadionil  täitub 13.6.2026  "100 aastat" esmasest avamisest. </t>
  </si>
  <si>
    <t xml:space="preserve">Ehitushange plaanis välja kuulutada II kvartal 2022 ja objekt valmib 2023. aasta lõpuks. Kogumaksumust suurendatakse 160 000 eurot seoses ehitushindade kallinemisega. </t>
  </si>
  <si>
    <t>Projekteerimise lähteülesanne on valmis ning projekteerimishange avaldatakse 2022. aasta II kvartalis. Objekti kogumaksumust suurendatakse tulenevalt Linnaplaneerimisameti nõudest korraldada arhitektuurikonkurss, mida eelarve koostamisel ette ei nähtud. Lisaks on kogumaksumust suurendatud ehitushindade kallinemisest tulenevalt Ukrainas toimuvast, mille tõttu vähemalt osade ehitusmaterjalide import alternatiivsetest kohtadest toob kaasa hinnatõusu. Objekti kogumaksumust on suurendatud kokku 750 000 eurot.</t>
  </si>
  <si>
    <t xml:space="preserve">2021. aastal oli plaanis ära kasutada suurem summa, kuid tarneprobleemide tõttu kasutati vähem ja objekti valmimise tähtaeg pikenes. Palume suurendada 2022 aasta eelarvet kogusumma piires  197000 euro võrra. </t>
  </si>
  <si>
    <t>TVK</t>
  </si>
  <si>
    <t>Hoone audit on valmimas, seejärel saab hinnata tööde mahtu ja maksumust.</t>
  </si>
  <si>
    <t>Linnaarhiivi hoonete küttesüsteemi ehitustööd, katuse ekspertiis ja rekonstrueerimine, sadeveekaevu ja hoovi ning hoovipoolse fassaadi rekonstrueerimine, tõsteratta taastamine, pööningule viiva trepi ekspertiis, ruumide remont</t>
  </si>
  <si>
    <t>Vabaduse väljak 7 ja 10 hoonete auditid, tehnosüsteemide rekonstrueerimine, Vabaduse väljak 7 fassaadi restaureerimine koos akende vahetusega, Raekoja plats 12 elektripaigaldis, Vabaduse väljak 10 fassaadikivide vahetamine koos karniisi korrastamisega ning hoovipoolse fassaadi ja rõdude rekonstrueerimine</t>
  </si>
  <si>
    <t>Uute ootekodade paigaldamisega on vajalik uut tüüpi sõiduplaanide aluste paigaldamine, elektroonilised kui ka paberkandjal sõiduplaanid</t>
  </si>
  <si>
    <t>2022.aprill projekteerimine ei valmi, leping on pikendamisel. Pikendamise kestvus teadmata, tegemist uute projekteerimistingimuste menetlemisega (osaliselt). RHS alusel maksimaalne lubatud juurdekasv 50% algse lepingu mahust</t>
  </si>
  <si>
    <t>2022.aasta II poolaastal selgub tegevuse vajaduse seoses trammiteede võimaliku rajamisega, seetõttu jaotus on väga tinglik, eesmärk on markeerida objekti.</t>
  </si>
  <si>
    <t>Igal järgneval aastal vähemalt kolme silla rekonstrueerimine (maksumus ca 800 000 € sild)</t>
  </si>
  <si>
    <t>Objektide loetelu iga-aastaselt korrigeeritav. Summad on 2021.aasta eelaarvestrateegia kinnitamisel esitatud materjalid. Korrigeerime 2023.aasta summad eelarve aasta koostamise ajal.</t>
  </si>
  <si>
    <t>Vajame LEAga täiendavate vahendite taotlemist. Objekt valmib eeldatavalt 2022.aastal</t>
  </si>
  <si>
    <t>2022- projekteerimine</t>
  </si>
  <si>
    <t>Jätkuobjektid aastast 2020.</t>
  </si>
  <si>
    <t>Tegevused vastavalt rattastrateegiale</t>
  </si>
  <si>
    <t>Objekti tegevuste kava on seotud Kullo keskuse tegevuskavadega-lahendatakse tervikuna</t>
  </si>
  <si>
    <t>2021 algas projekteerimine, projekti valmimise aega orienteeruvalt sügis 2022, selle järgnevad hankemenetlused, põhiehitus aastas 2023</t>
  </si>
  <si>
    <t>Jätkutegevused, iga-aastased hanked</t>
  </si>
  <si>
    <t>jaotus sõltub ettevalmistavatest tegevustest</t>
  </si>
  <si>
    <t>Keegi ei tea sellest objektist. Kui II lEAga võetakse välja, siis läheb ka strateegisat välja.</t>
  </si>
  <si>
    <t>Kogumaksumuse täpsustus II LEA</t>
  </si>
  <si>
    <t>Kaasava hariduse põhimõtete rakendamise toetamine Tallinna koolides</t>
  </si>
  <si>
    <t xml:space="preserve">Gustav Adolfi Gümnaasiumi (Suur-Kloostri 16) muinsuskaitse väärtusega lehtla taastamine </t>
  </si>
  <si>
    <t xml:space="preserve">Gustav Adolfi Gümnaasiumi (Suur-Kloostri 16) muinsuskaitse väärtusega piirdeaia ja tugipostide taastamine </t>
  </si>
  <si>
    <t>TBA palmimaja rekonstrueerimine</t>
  </si>
  <si>
    <t>TBA kompostväljak</t>
  </si>
  <si>
    <t>Pirita kloostri varemete katustamise uuringud</t>
  </si>
  <si>
    <t>Mustamäe kiriku rajamine (Mustamäe Kiriku Sihtasutus)</t>
  </si>
  <si>
    <t>Rahvakooli tee 3 Rulapark</t>
  </si>
  <si>
    <t xml:space="preserve">Härma kiiruisustaadioni korrastamine ja mattide soetamine </t>
  </si>
  <si>
    <t>Pääsküla noortekeskuse (Rännaku pst 1) tuletõkkeuste soetamine ja katuse remont</t>
  </si>
  <si>
    <t>Imanta tn jõulinnaku rajamine</t>
  </si>
  <si>
    <t xml:space="preserve">Nõmme Sotsiaalmaja (Pihlaka tn 12) tänavapoolse piirdeaia vahetus </t>
  </si>
  <si>
    <t>Tallinna Haigla projekteerimine ja ehitus (toetus Sihtasutusele Tallinna Haigla Arendus)</t>
  </si>
  <si>
    <t>Lasnamäe Sauna remont</t>
  </si>
  <si>
    <t>Kuninga tn 4 ja Estonia pst 5a automaatse tulekahjusignalisatsioonisüsteemi paigaldus</t>
  </si>
  <si>
    <t>Lasnamäe LOVi haldushoone (Pallasti 54) soetamine</t>
  </si>
  <si>
    <t>Avariiliste kandemastide asendamine (Kesklinnas aastas 7 tk) (TA/TLT)</t>
  </si>
  <si>
    <t>Trammi ja trolli kandemastide asendamiste projekteerimistööd (TA/TLT)</t>
  </si>
  <si>
    <t>Tondi lõppjaama harutee pikendamine (TA/TLT)</t>
  </si>
  <si>
    <t>Juhtimiskeskus (TA/TLT)</t>
  </si>
  <si>
    <t>Aida tn.rekonstrueerimine</t>
  </si>
  <si>
    <t>koolide ümbruse turvalisuse tõstmine</t>
  </si>
  <si>
    <t>Veskimetsa asumi teede rekonstrueerimine</t>
  </si>
  <si>
    <t>Rail Balticu tunnelite projekteerimine</t>
  </si>
  <si>
    <t>Sadamaala kergliiklustee lõigus Kalaranna tn-Reidi tee</t>
  </si>
  <si>
    <r>
      <t xml:space="preserve">sh mobiilsed foorid
</t>
    </r>
    <r>
      <rPr>
        <i/>
        <sz val="8"/>
        <rFont val="Arial"/>
        <family val="2"/>
        <charset val="186"/>
      </rPr>
      <t>asendatakse</t>
    </r>
    <r>
      <rPr>
        <sz val="8"/>
        <rFont val="Arial"/>
        <family val="2"/>
        <charset val="186"/>
      </rPr>
      <t xml:space="preserve">
Järvevana tee muutuvkiirusega märkide paigaldamiseks vajaliku infrastruktuuri rajamine </t>
    </r>
  </si>
  <si>
    <t>Akadeemia tee ja Järveotsa tee ristmik</t>
  </si>
  <si>
    <t>Männipargi purskkaevu rajamine</t>
  </si>
  <si>
    <t>Männipargi korrastamise lisatööd</t>
  </si>
  <si>
    <t>parklettide lahenduse välja töötamine ja rajamine</t>
  </si>
  <si>
    <t>Nõmme Kalda puhkeala inventari paigaldamine</t>
  </si>
  <si>
    <t>Kivila peremänguväljaku rekonstrueerimine</t>
  </si>
  <si>
    <r>
      <t xml:space="preserve">koerte jalutusväljakute rekonstrueerimine (Tiigiveski, Toompark, Astangu, Sõpruse, Tildri, Tondimõisa, Liikuri) 
</t>
    </r>
    <r>
      <rPr>
        <i/>
        <sz val="8"/>
        <rFont val="Arial"/>
        <family val="2"/>
        <charset val="186"/>
      </rPr>
      <t>asendatakse</t>
    </r>
    <r>
      <rPr>
        <sz val="8"/>
        <rFont val="Arial"/>
        <family val="2"/>
        <charset val="186"/>
      </rPr>
      <t xml:space="preserve">
Toompargi koerteväljaku rekonstrueerimine</t>
    </r>
  </si>
  <si>
    <t>Sõstra tn 1a hoovi korrastamise projekteerimine</t>
  </si>
  <si>
    <t>Stroomi rannaalale sanitaarkonteineri paigaldamine</t>
  </si>
  <si>
    <t>Projekt "CoastNet LIFE-rannikuelupaikade taastamine" sh</t>
  </si>
  <si>
    <t>2022 II LEA</t>
  </si>
  <si>
    <r>
      <t xml:space="preserve">Rulapargi projekteerimine ja rajamine (Tildri tn 2a) 
</t>
    </r>
    <r>
      <rPr>
        <i/>
        <sz val="10"/>
        <rFont val="Arial"/>
        <family val="2"/>
        <charset val="186"/>
      </rPr>
      <t xml:space="preserve">asendatakse </t>
    </r>
    <r>
      <rPr>
        <sz val="10"/>
        <rFont val="Arial"/>
        <family val="2"/>
        <charset val="186"/>
      </rPr>
      <t xml:space="preserve">
Tänavaspordipargi projekteerimine ja ehitamine (Tulika tn 33b)</t>
    </r>
  </si>
  <si>
    <t>2022 täpsustatud eelarve</t>
  </si>
  <si>
    <t>Kogumaksumuse täpsustus (LES ja III LEA)</t>
  </si>
  <si>
    <t>VORM 10 b</t>
  </si>
  <si>
    <t>VORM 10 a</t>
  </si>
  <si>
    <t>INVESTEERIMISTEGEVUSE EELARVE - 2022 JÄTKUOBJEKTID</t>
  </si>
  <si>
    <t>INVESTEERIMISTEGEVUSE EELARVE - UUED OBJEKTID</t>
  </si>
  <si>
    <t>Täpsustatud kogumaksumus</t>
  </si>
  <si>
    <t>2021 aastast üle kantud</t>
  </si>
  <si>
    <r>
      <t>Katte- allikas</t>
    </r>
    <r>
      <rPr>
        <b/>
        <vertAlign val="superscript"/>
        <sz val="10"/>
        <rFont val="Calibri"/>
        <family val="2"/>
        <charset val="186"/>
        <scheme val="minor"/>
      </rPr>
      <t>1</t>
    </r>
  </si>
  <si>
    <r>
      <rPr>
        <vertAlign val="superscript"/>
        <sz val="9"/>
        <rFont val="Arial"/>
        <family val="2"/>
        <charset val="186"/>
      </rPr>
      <t>1</t>
    </r>
    <r>
      <rPr>
        <sz val="9"/>
        <rFont val="Arial"/>
        <family val="2"/>
        <charset val="186"/>
      </rPr>
      <t xml:space="preserve"> Katteallikad:</t>
    </r>
  </si>
  <si>
    <r>
      <t>Vastutav ameti-asutus</t>
    </r>
    <r>
      <rPr>
        <b/>
        <vertAlign val="superscript"/>
        <sz val="10"/>
        <rFont val="Calibri"/>
        <family val="2"/>
        <charset val="186"/>
        <scheme val="minor"/>
      </rPr>
      <t>2</t>
    </r>
  </si>
  <si>
    <r>
      <rPr>
        <vertAlign val="superscript"/>
        <sz val="9"/>
        <rFont val="Arial"/>
        <family val="2"/>
        <charset val="186"/>
      </rPr>
      <t>2</t>
    </r>
    <r>
      <rPr>
        <sz val="9"/>
        <rFont val="Arial"/>
        <family val="2"/>
        <charset val="186"/>
      </rPr>
      <t xml:space="preserve"> Vastutav ametiasutus:</t>
    </r>
  </si>
  <si>
    <t>2022 täpsustus (III LEA)</t>
  </si>
  <si>
    <r>
      <t>Kogu-maksumus</t>
    </r>
    <r>
      <rPr>
        <b/>
        <vertAlign val="superscript"/>
        <sz val="10"/>
        <rFont val="Calibri"/>
        <family val="2"/>
        <charset val="186"/>
        <scheme val="minor"/>
      </rPr>
      <t>3</t>
    </r>
  </si>
  <si>
    <r>
      <rPr>
        <vertAlign val="superscript"/>
        <sz val="9"/>
        <rFont val="Arial"/>
        <family val="2"/>
        <charset val="186"/>
      </rPr>
      <t>3</t>
    </r>
    <r>
      <rPr>
        <sz val="9"/>
        <rFont val="Arial"/>
        <family val="2"/>
        <charset val="186"/>
      </rPr>
      <t xml:space="preserve"> Kogumaksumus on ilma sisendkäibemaksuta.</t>
    </r>
  </si>
  <si>
    <t>Sport ja liikumisharrastus</t>
  </si>
  <si>
    <t>Prioriteetsuse jrk (1-3)</t>
  </si>
  <si>
    <r>
      <t>Muud objektid</t>
    </r>
    <r>
      <rPr>
        <u/>
        <vertAlign val="superscript"/>
        <sz val="10"/>
        <rFont val="Arial"/>
        <family val="2"/>
        <charset val="186"/>
      </rPr>
      <t>4</t>
    </r>
  </si>
  <si>
    <r>
      <t>Rattastrateegia elluviimine</t>
    </r>
    <r>
      <rPr>
        <u/>
        <vertAlign val="superscript"/>
        <sz val="10"/>
        <rFont val="Arial"/>
        <family val="2"/>
        <charset val="186"/>
      </rPr>
      <t>4</t>
    </r>
  </si>
  <si>
    <r>
      <t>Pargid ja rohealad</t>
    </r>
    <r>
      <rPr>
        <vertAlign val="superscript"/>
        <sz val="10"/>
        <rFont val="Arial"/>
        <family val="2"/>
        <charset val="186"/>
      </rPr>
      <t>4</t>
    </r>
  </si>
  <si>
    <r>
      <t>Kristiine jaapanipärase minimetsa laudtee</t>
    </r>
    <r>
      <rPr>
        <vertAlign val="superscript"/>
        <sz val="8"/>
        <rFont val="Arial"/>
        <family val="2"/>
        <charset val="186"/>
      </rPr>
      <t>6</t>
    </r>
  </si>
  <si>
    <r>
      <t>Mänguväljakud ja treeninguelemendid</t>
    </r>
    <r>
      <rPr>
        <vertAlign val="superscript"/>
        <sz val="10"/>
        <rFont val="Arial"/>
        <family val="2"/>
        <charset val="186"/>
      </rPr>
      <t>4</t>
    </r>
  </si>
  <si>
    <r>
      <t>Mustakivi jalakäijate tunneli korrastamine</t>
    </r>
    <r>
      <rPr>
        <vertAlign val="superscript"/>
        <sz val="10"/>
        <rFont val="Arial"/>
        <family val="2"/>
        <charset val="186"/>
      </rPr>
      <t>6</t>
    </r>
  </si>
  <si>
    <r>
      <t>Kass Augusti promenaad Kopli tänaval</t>
    </r>
    <r>
      <rPr>
        <vertAlign val="superscript"/>
        <sz val="10"/>
        <rFont val="Arial"/>
        <family val="2"/>
        <charset val="186"/>
      </rPr>
      <t>6</t>
    </r>
  </si>
  <si>
    <r>
      <rPr>
        <vertAlign val="superscript"/>
        <sz val="9"/>
        <rFont val="Arial"/>
        <family val="2"/>
        <charset val="186"/>
      </rPr>
      <t>4</t>
    </r>
    <r>
      <rPr>
        <sz val="9"/>
        <rFont val="Arial"/>
        <family val="2"/>
        <charset val="186"/>
      </rPr>
      <t xml:space="preserve"> Eelarve täitmisel on õigus muuta summade jaotust positsiooni üldsumma piires.</t>
    </r>
  </si>
  <si>
    <r>
      <rPr>
        <vertAlign val="superscript"/>
        <sz val="9"/>
        <rFont val="Arial"/>
        <family val="2"/>
        <charset val="186"/>
      </rPr>
      <t>6</t>
    </r>
    <r>
      <rPr>
        <sz val="9"/>
        <rFont val="Arial"/>
        <family val="2"/>
        <charset val="186"/>
      </rPr>
      <t xml:space="preserve"> 2021. aasta kaasava eelarve objekt</t>
    </r>
  </si>
  <si>
    <r>
      <rPr>
        <vertAlign val="superscript"/>
        <sz val="9"/>
        <rFont val="Arial"/>
        <family val="2"/>
        <charset val="186"/>
      </rPr>
      <t>5</t>
    </r>
    <r>
      <rPr>
        <sz val="9"/>
        <rFont val="Arial"/>
        <family val="2"/>
        <charset val="186"/>
      </rPr>
      <t xml:space="preserve"> 2021. aasta COVID-19 olukorras kohaliku omavalitsuse üksustele investeeringuteks ning lammutamise ja remonttöödega seotud tegevusteks antava toetuse objekt</t>
    </r>
  </si>
  <si>
    <r>
      <t>Tallinna Vindi Lasteaed</t>
    </r>
    <r>
      <rPr>
        <vertAlign val="superscript"/>
        <sz val="8"/>
        <rFont val="Arial"/>
        <family val="2"/>
        <charset val="186"/>
      </rPr>
      <t>5</t>
    </r>
  </si>
  <si>
    <r>
      <t>Tallinna Rõõmupesa Lasteaed</t>
    </r>
    <r>
      <rPr>
        <vertAlign val="superscript"/>
        <sz val="8"/>
        <rFont val="Arial"/>
        <family val="2"/>
        <charset val="186"/>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</si>
</sst>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kr&quot;_-;\-* #,##0.00\ &quot;kr&quot;_-;_-* &quot;-&quot;??\ &quot;kr&quot;_-;_-@_-"/>
    <numFmt numFmtId="165" formatCode="_-* #,##0.00\ _k_r_-;\-* #,##0.00\ _k_r_-;_-* &quot;-&quot;??\ _k_r_-;_-@_-"/>
    <numFmt numFmtId="166" formatCode="_-* #,##0.00\ _k_r_-;\-* #,##0.00\ _k_r_-;_-* \-??\ _k_r_-;_-@_-"/>
    <numFmt numFmtId="167" formatCode="#,##0.00000"/>
    <numFmt numFmtId="168" formatCode="_(* #,##0_);_(* \(#,##0\);_(* &quot;-&quot;??_);_(@_)"/>
    <numFmt numFmtId="169" formatCode="#,##0;\-#,##0;&quot; &quot;"/>
  </numFmts>
  <fonts count="93"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0"/>
      <name val="Arial"/>
      <family val="2"/>
      <charset val="186"/>
    </font>
    <font>
      <i/>
      <sz val="10"/>
      <name val="Arial"/>
      <family val="2"/>
      <charset val="186"/>
    </font>
    <font>
      <b/>
      <sz val="11"/>
      <name val="Arial"/>
      <family val="2"/>
      <charset val="186"/>
    </font>
    <font>
      <u/>
      <sz val="10"/>
      <name val="Arial"/>
      <family val="2"/>
      <charset val="186"/>
    </font>
    <font>
      <i/>
      <sz val="8"/>
      <name val="Arial"/>
      <family val="2"/>
      <charset val="186"/>
    </font>
    <font>
      <sz val="10"/>
      <name val="Arial"/>
      <family val="2"/>
    </font>
    <font>
      <sz val="9"/>
      <name val="Arial"/>
      <family val="2"/>
      <charset val="186"/>
    </font>
    <font>
      <sz val="10"/>
      <color rgb="FFFF0000"/>
      <name val="Arial"/>
      <family val="2"/>
      <charset val="186"/>
    </font>
    <font>
      <sz val="11"/>
      <color indexed="17"/>
      <name val="Calibri"/>
      <family val="2"/>
      <charset val="186"/>
    </font>
    <font>
      <sz val="11"/>
      <color indexed="9"/>
      <name val="Calibri"/>
      <family val="2"/>
      <charset val="186"/>
    </font>
    <font>
      <sz val="11"/>
      <color theme="1"/>
      <name val="Calibri"/>
      <family val="2"/>
      <charset val="186"/>
      <scheme val="minor"/>
    </font>
    <font>
      <sz val="11"/>
      <color indexed="8"/>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1"/>
      <color indexed="10"/>
      <name val="Calibri"/>
      <family val="2"/>
      <charset val="186"/>
    </font>
    <font>
      <sz val="10"/>
      <name val="Mangal"/>
      <family val="2"/>
    </font>
    <font>
      <u/>
      <sz val="8.5"/>
      <color indexed="12"/>
      <name val="Arial"/>
      <family val="2"/>
      <charset val="186"/>
    </font>
    <font>
      <sz val="10"/>
      <color indexed="17"/>
      <name val="Arial"/>
      <family val="2"/>
      <charset val="186"/>
    </font>
    <font>
      <sz val="10"/>
      <name val="Calibri"/>
      <family val="2"/>
      <charset val="186"/>
      <scheme val="minor"/>
    </font>
    <font>
      <sz val="8"/>
      <name val="Calibri"/>
      <family val="2"/>
      <charset val="186"/>
      <scheme val="minor"/>
    </font>
    <font>
      <sz val="10"/>
      <color theme="0"/>
      <name val="Arial"/>
      <family val="2"/>
      <charset val="186"/>
    </font>
    <font>
      <b/>
      <sz val="8"/>
      <name val="Arial"/>
      <family val="2"/>
      <charset val="186"/>
    </font>
    <font>
      <b/>
      <sz val="11"/>
      <name val="Times New Roman"/>
      <family val="1"/>
      <charset val="186"/>
    </font>
    <font>
      <sz val="10"/>
      <name val="Times New Roman"/>
      <family val="1"/>
      <charset val="186"/>
    </font>
    <font>
      <b/>
      <sz val="9"/>
      <name val="Times New Roman"/>
      <family val="1"/>
      <charset val="186"/>
    </font>
    <font>
      <sz val="10"/>
      <color rgb="FFFF0000"/>
      <name val="Times New Roman"/>
      <family val="1"/>
      <charset val="186"/>
    </font>
    <font>
      <b/>
      <sz val="10"/>
      <name val="Times New Roman"/>
      <family val="1"/>
      <charset val="186"/>
    </font>
    <font>
      <b/>
      <sz val="10"/>
      <name val="Calibri"/>
      <family val="2"/>
      <charset val="186"/>
      <scheme val="minor"/>
    </font>
    <font>
      <sz val="10"/>
      <color rgb="FF000000"/>
      <name val="Arial"/>
      <family val="2"/>
      <charset val="186"/>
    </font>
    <font>
      <sz val="8"/>
      <color rgb="FF000000"/>
      <name val="Arial"/>
      <family val="2"/>
      <charset val="186"/>
    </font>
    <font>
      <sz val="8"/>
      <color rgb="FFFF0000"/>
      <name val="Arial"/>
      <family val="2"/>
      <charset val="186"/>
    </font>
    <font>
      <sz val="11"/>
      <color rgb="FF4472C4"/>
      <name val="Calibri"/>
      <family val="2"/>
      <charset val="186"/>
    </font>
    <font>
      <sz val="11"/>
      <name val="Arial"/>
      <family val="2"/>
      <charset val="186"/>
    </font>
    <font>
      <sz val="8"/>
      <color rgb="FFFF0000"/>
      <name val="Times New Roman"/>
      <family val="1"/>
      <charset val="186"/>
    </font>
    <font>
      <sz val="8"/>
      <color theme="5" tint="-0.499984740745262"/>
      <name val="Arial"/>
      <family val="2"/>
      <charset val="186"/>
    </font>
    <font>
      <u/>
      <sz val="8"/>
      <name val="Arial"/>
      <family val="2"/>
      <charset val="186"/>
    </font>
    <font>
      <b/>
      <sz val="12"/>
      <color theme="1"/>
      <name val="Calibri"/>
      <family val="2"/>
      <charset val="186"/>
      <scheme val="minor"/>
    </font>
    <font>
      <sz val="9"/>
      <color indexed="81"/>
      <name val="Tahoma"/>
      <charset val="1"/>
    </font>
    <font>
      <b/>
      <sz val="9"/>
      <color indexed="81"/>
      <name val="Tahoma"/>
      <charset val="1"/>
    </font>
    <font>
      <b/>
      <vertAlign val="superscript"/>
      <sz val="10"/>
      <name val="Calibri"/>
      <family val="2"/>
      <charset val="186"/>
      <scheme val="minor"/>
    </font>
    <font>
      <vertAlign val="superscript"/>
      <sz val="9"/>
      <name val="Arial"/>
      <family val="2"/>
      <charset val="186"/>
    </font>
    <font>
      <u/>
      <vertAlign val="superscript"/>
      <sz val="10"/>
      <name val="Arial"/>
      <family val="2"/>
      <charset val="186"/>
    </font>
    <font>
      <vertAlign val="superscript"/>
      <sz val="10"/>
      <name val="Arial"/>
      <family val="2"/>
      <charset val="186"/>
    </font>
    <font>
      <vertAlign val="superscript"/>
      <sz val="8"/>
      <name val="Arial"/>
      <family val="2"/>
      <charset val="186"/>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rgb="FFFFFF00"/>
        <bgColor indexed="64"/>
      </patternFill>
    </fill>
    <fill>
      <patternFill patternType="solid">
        <fgColor theme="9" tint="0.59999389629810485"/>
        <bgColor indexed="64"/>
      </patternFill>
    </fill>
    <fill>
      <patternFill patternType="solid">
        <fgColor indexed="43"/>
        <bgColor indexed="64"/>
      </patternFill>
    </fill>
    <fill>
      <patternFill patternType="solid">
        <fgColor rgb="FFFFFFFF"/>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87">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33"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19" fillId="0" borderId="0"/>
    <xf numFmtId="0" fontId="47" fillId="4" borderId="0" applyNumberFormat="0" applyBorder="0" applyAlignment="0" applyProtection="0"/>
    <xf numFmtId="0" fontId="29" fillId="0" borderId="0" applyNumberFormat="0" applyFill="0" applyBorder="0" applyAlignment="0" applyProtection="0">
      <alignment vertical="top"/>
      <protection locked="0"/>
    </xf>
    <xf numFmtId="9" fontId="19" fillId="0" borderId="0" applyFont="0" applyFill="0" applyBorder="0" applyAlignment="0" applyProtection="0"/>
    <xf numFmtId="0" fontId="48" fillId="14" borderId="0" applyNumberFormat="0" applyBorder="0" applyAlignment="0" applyProtection="0"/>
    <xf numFmtId="0" fontId="48" fillId="19" borderId="0" applyNumberFormat="0" applyBorder="0" applyAlignment="0" applyProtection="0"/>
    <xf numFmtId="0" fontId="19" fillId="0" borderId="0"/>
    <xf numFmtId="0" fontId="19" fillId="0" borderId="0"/>
    <xf numFmtId="0" fontId="19" fillId="23" borderId="7" applyNumberFormat="0" applyFont="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6" fontId="64"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0" fontId="55" fillId="0" borderId="0" applyNumberFormat="0" applyFill="0" applyBorder="0" applyAlignment="0" applyProtection="0"/>
    <xf numFmtId="0" fontId="47" fillId="4" borderId="0" applyNumberFormat="0" applyBorder="0" applyAlignment="0" applyProtection="0"/>
    <xf numFmtId="0" fontId="47" fillId="2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5" fillId="0" borderId="0" applyNumberFormat="0" applyFill="0" applyBorder="0" applyAlignment="0" applyProtection="0">
      <alignment vertical="top"/>
      <protection locked="0"/>
    </xf>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19" fillId="0" borderId="0"/>
    <xf numFmtId="0" fontId="19" fillId="0" borderId="0"/>
    <xf numFmtId="0" fontId="49" fillId="0" borderId="0"/>
    <xf numFmtId="0" fontId="49" fillId="0" borderId="0"/>
    <xf numFmtId="0" fontId="1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 fillId="0" borderId="0"/>
    <xf numFmtId="0" fontId="50" fillId="0" borderId="0"/>
    <xf numFmtId="0" fontId="49" fillId="0" borderId="0"/>
    <xf numFmtId="0" fontId="49" fillId="0" borderId="0"/>
    <xf numFmtId="0" fontId="49" fillId="0" borderId="0"/>
    <xf numFmtId="0" fontId="49" fillId="0" borderId="0"/>
    <xf numFmtId="0" fontId="49" fillId="0" borderId="0"/>
    <xf numFmtId="0" fontId="19" fillId="0" borderId="0"/>
    <xf numFmtId="0" fontId="49" fillId="0" borderId="0"/>
    <xf numFmtId="0" fontId="49" fillId="0" borderId="0"/>
    <xf numFmtId="0" fontId="49" fillId="0" borderId="0"/>
    <xf numFmtId="0" fontId="49" fillId="0" borderId="0"/>
    <xf numFmtId="0" fontId="44" fillId="0" borderId="0"/>
    <xf numFmtId="0" fontId="49" fillId="0" borderId="0"/>
    <xf numFmtId="0" fontId="49" fillId="0" borderId="0"/>
    <xf numFmtId="0" fontId="49" fillId="0" borderId="0"/>
    <xf numFmtId="0" fontId="19" fillId="0" borderId="0"/>
    <xf numFmtId="0" fontId="50" fillId="23" borderId="7" applyNumberFormat="0" applyFont="0" applyAlignment="0" applyProtection="0"/>
    <xf numFmtId="0" fontId="62" fillId="20" borderId="8" applyNumberFormat="0" applyAlignment="0" applyProtection="0"/>
    <xf numFmtId="9" fontId="19" fillId="0" borderId="0" applyFont="0" applyFill="0" applyBorder="0" applyAlignment="0" applyProtection="0"/>
    <xf numFmtId="0" fontId="48" fillId="25" borderId="0" applyNumberFormat="0" applyBorder="0" applyAlignment="0" applyProtection="0"/>
    <xf numFmtId="0" fontId="48" fillId="26" borderId="0" applyNumberFormat="0" applyBorder="0" applyAlignment="0" applyProtection="0"/>
    <xf numFmtId="0" fontId="35" fillId="0" borderId="0" applyNumberFormat="0" applyFill="0" applyBorder="0" applyAlignment="0" applyProtection="0"/>
    <xf numFmtId="0" fontId="51" fillId="0" borderId="9" applyNumberFormat="0" applyFill="0" applyAlignment="0" applyProtection="0"/>
    <xf numFmtId="0" fontId="63" fillId="0" borderId="0" applyNumberFormat="0" applyFill="0" applyBorder="0" applyAlignment="0" applyProtection="0"/>
    <xf numFmtId="0" fontId="19" fillId="23" borderId="7" applyNumberFormat="0" applyFont="0" applyAlignment="0" applyProtection="0"/>
    <xf numFmtId="0" fontId="49" fillId="0" borderId="0"/>
    <xf numFmtId="0" fontId="18" fillId="0" borderId="0"/>
    <xf numFmtId="0" fontId="19" fillId="0" borderId="0"/>
    <xf numFmtId="0" fontId="19" fillId="0" borderId="0"/>
    <xf numFmtId="0" fontId="19" fillId="0" borderId="0"/>
    <xf numFmtId="0" fontId="17" fillId="0" borderId="0"/>
    <xf numFmtId="0" fontId="19" fillId="0" borderId="0"/>
    <xf numFmtId="0" fontId="16" fillId="0" borderId="0"/>
    <xf numFmtId="0" fontId="15" fillId="0" borderId="0"/>
    <xf numFmtId="0" fontId="14"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66"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9"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47" fillId="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9"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1" fillId="0" borderId="0"/>
  </cellStyleXfs>
  <cellXfs count="280">
    <xf numFmtId="0" fontId="0" fillId="0" borderId="0" xfId="0"/>
    <xf numFmtId="0" fontId="19" fillId="0" borderId="0" xfId="146"/>
    <xf numFmtId="0" fontId="46" fillId="0" borderId="0" xfId="146" applyFont="1"/>
    <xf numFmtId="0" fontId="19" fillId="0" borderId="0" xfId="45"/>
    <xf numFmtId="0" fontId="71" fillId="0" borderId="0" xfId="45" applyFont="1"/>
    <xf numFmtId="0" fontId="38" fillId="0" borderId="0" xfId="45" applyFont="1" applyAlignment="1">
      <alignment vertical="top" wrapText="1"/>
    </xf>
    <xf numFmtId="0" fontId="72" fillId="0" borderId="0" xfId="45" applyFont="1"/>
    <xf numFmtId="3" fontId="69" fillId="0" borderId="0" xfId="45" applyNumberFormat="1" applyFont="1"/>
    <xf numFmtId="0" fontId="41" fillId="0" borderId="0" xfId="45" applyFont="1"/>
    <xf numFmtId="167" fontId="73" fillId="0" borderId="0" xfId="45" applyNumberFormat="1" applyFont="1" applyAlignment="1">
      <alignment horizontal="center"/>
    </xf>
    <xf numFmtId="3" fontId="72" fillId="0" borderId="0" xfId="45" applyNumberFormat="1" applyFont="1"/>
    <xf numFmtId="3" fontId="74" fillId="0" borderId="0" xfId="45" applyNumberFormat="1" applyFont="1"/>
    <xf numFmtId="0" fontId="19" fillId="0" borderId="19" xfId="45" applyBorder="1" applyAlignment="1">
      <alignment horizontal="center"/>
    </xf>
    <xf numFmtId="0" fontId="38" fillId="0" borderId="0" xfId="45" applyFont="1" applyAlignment="1">
      <alignment horizontal="center" vertical="top" wrapText="1"/>
    </xf>
    <xf numFmtId="3" fontId="75" fillId="0" borderId="0" xfId="45" applyNumberFormat="1" applyFont="1" applyAlignment="1">
      <alignment horizontal="center"/>
    </xf>
    <xf numFmtId="0" fontId="76" fillId="27" borderId="17" xfId="83" applyNumberFormat="1" applyFont="1" applyFill="1" applyBorder="1" applyAlignment="1">
      <alignment horizontal="right" vertical="top" wrapText="1"/>
    </xf>
    <xf numFmtId="0" fontId="76" fillId="0" borderId="10" xfId="45" applyFont="1" applyBorder="1" applyAlignment="1">
      <alignment horizontal="left" vertical="top" wrapText="1"/>
    </xf>
    <xf numFmtId="0" fontId="76" fillId="0" borderId="10" xfId="45" applyFont="1" applyBorder="1" applyAlignment="1">
      <alignment horizontal="center" vertical="top" wrapText="1"/>
    </xf>
    <xf numFmtId="0" fontId="76" fillId="27" borderId="10" xfId="45" applyFont="1" applyFill="1" applyBorder="1" applyAlignment="1">
      <alignment horizontal="center" vertical="top" wrapText="1"/>
    </xf>
    <xf numFmtId="3" fontId="76" fillId="0" borderId="10" xfId="45" applyNumberFormat="1" applyFont="1" applyBorder="1" applyAlignment="1">
      <alignment horizontal="center" vertical="top" wrapText="1"/>
    </xf>
    <xf numFmtId="0" fontId="76" fillId="0" borderId="10" xfId="83" applyNumberFormat="1" applyFont="1" applyFill="1" applyBorder="1" applyAlignment="1">
      <alignment horizontal="center" vertical="top" wrapText="1"/>
    </xf>
    <xf numFmtId="0" fontId="76" fillId="27" borderId="10" xfId="83" applyNumberFormat="1" applyFont="1" applyFill="1" applyBorder="1" applyAlignment="1">
      <alignment horizontal="center" vertical="top" wrapText="1"/>
    </xf>
    <xf numFmtId="0" fontId="67" fillId="0" borderId="0" xfId="45" applyFont="1"/>
    <xf numFmtId="3" fontId="19" fillId="0" borderId="0" xfId="45" applyNumberFormat="1"/>
    <xf numFmtId="0" fontId="39" fillId="28" borderId="10" xfId="146" applyFont="1" applyFill="1" applyBorder="1" applyAlignment="1" applyProtection="1">
      <alignment horizontal="left" vertical="top" wrapText="1"/>
      <protection locked="0"/>
    </xf>
    <xf numFmtId="3" fontId="39" fillId="28" borderId="10" xfId="146" applyNumberFormat="1" applyFont="1" applyFill="1" applyBorder="1" applyAlignment="1" applyProtection="1">
      <alignment vertical="top" wrapText="1"/>
      <protection locked="0"/>
    </xf>
    <xf numFmtId="0" fontId="19" fillId="0" borderId="10" xfId="146" applyBorder="1" applyAlignment="1" applyProtection="1">
      <alignment horizontal="right" vertical="top" wrapText="1"/>
      <protection locked="0"/>
    </xf>
    <xf numFmtId="0" fontId="19" fillId="0" borderId="10" xfId="146" applyBorder="1" applyAlignment="1" applyProtection="1">
      <alignment horizontal="left" vertical="top" wrapText="1"/>
      <protection locked="0"/>
    </xf>
    <xf numFmtId="3" fontId="19" fillId="0" borderId="10" xfId="146" applyNumberFormat="1" applyBorder="1" applyAlignment="1" applyProtection="1">
      <alignment vertical="top" wrapText="1"/>
      <protection locked="0"/>
    </xf>
    <xf numFmtId="0" fontId="39" fillId="29" borderId="10" xfId="148" applyFont="1" applyFill="1" applyBorder="1" applyAlignment="1" applyProtection="1">
      <alignment horizontal="left" vertical="top"/>
      <protection locked="0"/>
    </xf>
    <xf numFmtId="3" fontId="39" fillId="29" borderId="10" xfId="148" applyNumberFormat="1" applyFont="1" applyFill="1" applyBorder="1" applyAlignment="1" applyProtection="1">
      <alignment vertical="top"/>
      <protection locked="0"/>
    </xf>
    <xf numFmtId="0" fontId="19" fillId="0" borderId="10" xfId="148" applyBorder="1" applyAlignment="1" applyProtection="1">
      <alignment horizontal="left" vertical="top" wrapText="1"/>
      <protection locked="0"/>
    </xf>
    <xf numFmtId="3" fontId="19" fillId="0" borderId="10" xfId="148" applyNumberFormat="1" applyBorder="1" applyAlignment="1" applyProtection="1">
      <alignment vertical="top" wrapText="1"/>
      <protection locked="0"/>
    </xf>
    <xf numFmtId="3" fontId="19" fillId="0" borderId="10" xfId="148" applyNumberFormat="1" applyBorder="1" applyAlignment="1" applyProtection="1">
      <alignment horizontal="right" vertical="top" wrapText="1"/>
      <protection locked="0"/>
    </xf>
    <xf numFmtId="0" fontId="38" fillId="0" borderId="10" xfId="148" applyFont="1" applyBorder="1" applyAlignment="1" applyProtection="1">
      <alignment horizontal="left" vertical="top" wrapText="1" indent="2"/>
      <protection locked="0"/>
    </xf>
    <xf numFmtId="0" fontId="38" fillId="0" borderId="10" xfId="148" applyFont="1" applyBorder="1" applyAlignment="1" applyProtection="1">
      <alignment horizontal="left" vertical="top" wrapText="1"/>
      <protection locked="0"/>
    </xf>
    <xf numFmtId="3" fontId="38" fillId="0" borderId="10" xfId="148" applyNumberFormat="1" applyFont="1" applyBorder="1" applyAlignment="1" applyProtection="1">
      <alignment vertical="top" wrapText="1"/>
      <protection locked="0"/>
    </xf>
    <xf numFmtId="0" fontId="38" fillId="0" borderId="0" xfId="146" applyFont="1"/>
    <xf numFmtId="0" fontId="77" fillId="0" borderId="10" xfId="148" applyFont="1" applyBorder="1" applyAlignment="1" applyProtection="1">
      <alignment horizontal="left" vertical="top" wrapText="1"/>
      <protection locked="0"/>
    </xf>
    <xf numFmtId="3" fontId="77" fillId="0" borderId="10" xfId="148" applyNumberFormat="1" applyFont="1" applyBorder="1" applyAlignment="1" applyProtection="1">
      <alignment vertical="top" wrapText="1"/>
      <protection locked="0"/>
    </xf>
    <xf numFmtId="0" fontId="38" fillId="0" borderId="10" xfId="148" applyFont="1" applyBorder="1" applyAlignment="1" applyProtection="1">
      <alignment horizontal="right" vertical="top" wrapText="1" indent="2"/>
      <protection locked="0"/>
    </xf>
    <xf numFmtId="0" fontId="38" fillId="0" borderId="0" xfId="45" applyFont="1"/>
    <xf numFmtId="0" fontId="78" fillId="0" borderId="10" xfId="148" applyFont="1" applyBorder="1" applyAlignment="1" applyProtection="1">
      <alignment horizontal="left" vertical="top" wrapText="1" indent="2"/>
      <protection locked="0"/>
    </xf>
    <xf numFmtId="0" fontId="78" fillId="0" borderId="10" xfId="148" applyFont="1" applyBorder="1" applyAlignment="1" applyProtection="1">
      <alignment horizontal="left" vertical="top" wrapText="1"/>
      <protection locked="0"/>
    </xf>
    <xf numFmtId="3" fontId="78" fillId="0" borderId="10" xfId="148" applyNumberFormat="1" applyFont="1" applyBorder="1" applyAlignment="1" applyProtection="1">
      <alignment vertical="top" wrapText="1"/>
      <protection locked="0"/>
    </xf>
    <xf numFmtId="0" fontId="39" fillId="29" borderId="10" xfId="148" applyFont="1" applyFill="1" applyBorder="1" applyAlignment="1" applyProtection="1">
      <alignment horizontal="left" vertical="top" wrapText="1"/>
      <protection locked="0"/>
    </xf>
    <xf numFmtId="3" fontId="39" fillId="29" borderId="10" xfId="148" applyNumberFormat="1" applyFont="1" applyFill="1" applyBorder="1" applyAlignment="1" applyProtection="1">
      <alignment vertical="top" wrapText="1"/>
      <protection locked="0"/>
    </xf>
    <xf numFmtId="0" fontId="19" fillId="0" borderId="10" xfId="148" applyBorder="1" applyAlignment="1" applyProtection="1">
      <alignment horizontal="right" vertical="top" wrapText="1"/>
      <protection locked="0"/>
    </xf>
    <xf numFmtId="0" fontId="38" fillId="0" borderId="10" xfId="144" applyFont="1" applyBorder="1" applyAlignment="1" applyProtection="1">
      <alignment horizontal="left" vertical="top" wrapText="1" indent="2"/>
      <protection locked="0"/>
    </xf>
    <xf numFmtId="0" fontId="38" fillId="0" borderId="10" xfId="144" applyFont="1" applyBorder="1" applyAlignment="1" applyProtection="1">
      <alignment horizontal="left" vertical="top" wrapText="1"/>
      <protection locked="0"/>
    </xf>
    <xf numFmtId="3" fontId="38" fillId="0" borderId="10" xfId="144" applyNumberFormat="1" applyFont="1" applyBorder="1" applyAlignment="1" applyProtection="1">
      <alignment vertical="top" wrapText="1"/>
      <protection locked="0"/>
    </xf>
    <xf numFmtId="0" fontId="38" fillId="0" borderId="10" xfId="144" applyFont="1" applyBorder="1" applyAlignment="1" applyProtection="1">
      <alignment horizontal="left" vertical="top" indent="2"/>
      <protection locked="0"/>
    </xf>
    <xf numFmtId="0" fontId="38" fillId="0" borderId="10" xfId="144" applyFont="1" applyBorder="1" applyAlignment="1" applyProtection="1">
      <alignment horizontal="left" vertical="top"/>
      <protection locked="0"/>
    </xf>
    <xf numFmtId="3" fontId="38" fillId="0" borderId="10" xfId="144" applyNumberFormat="1" applyFont="1" applyBorder="1" applyAlignment="1" applyProtection="1">
      <alignment vertical="top"/>
      <protection locked="0"/>
    </xf>
    <xf numFmtId="0" fontId="19" fillId="0" borderId="10" xfId="148" applyBorder="1" applyAlignment="1" applyProtection="1">
      <alignment horizontal="left" vertical="top"/>
      <protection locked="0"/>
    </xf>
    <xf numFmtId="3" fontId="19" fillId="0" borderId="10" xfId="148" applyNumberFormat="1" applyBorder="1" applyAlignment="1" applyProtection="1">
      <alignment vertical="top"/>
      <protection locked="0"/>
    </xf>
    <xf numFmtId="0" fontId="38" fillId="0" borderId="10" xfId="148" applyFont="1" applyBorder="1" applyAlignment="1" applyProtection="1">
      <alignment horizontal="left" vertical="top" indent="2"/>
      <protection locked="0"/>
    </xf>
    <xf numFmtId="0" fontId="38" fillId="0" borderId="10" xfId="148" applyFont="1" applyBorder="1" applyAlignment="1" applyProtection="1">
      <alignment horizontal="left" vertical="top"/>
      <protection locked="0"/>
    </xf>
    <xf numFmtId="3" fontId="38" fillId="0" borderId="10" xfId="148" applyNumberFormat="1" applyFont="1" applyBorder="1" applyAlignment="1" applyProtection="1">
      <alignment vertical="top"/>
      <protection locked="0"/>
    </xf>
    <xf numFmtId="0" fontId="38" fillId="0" borderId="10" xfId="148" applyFont="1" applyBorder="1" applyAlignment="1" applyProtection="1">
      <alignment horizontal="left" vertical="top" wrapText="1" indent="3"/>
      <protection locked="0"/>
    </xf>
    <xf numFmtId="0" fontId="19" fillId="0" borderId="10" xfId="148" applyBorder="1" applyAlignment="1" applyProtection="1">
      <alignment horizontal="left" vertical="top" wrapText="1" indent="1"/>
      <protection locked="0"/>
    </xf>
    <xf numFmtId="0" fontId="38" fillId="0" borderId="10" xfId="144" applyFont="1" applyBorder="1" applyAlignment="1" applyProtection="1">
      <alignment horizontal="left" vertical="top" wrapText="1" indent="3"/>
      <protection locked="0"/>
    </xf>
    <xf numFmtId="0" fontId="38" fillId="0" borderId="10" xfId="146" applyFont="1" applyBorder="1" applyAlignment="1" applyProtection="1">
      <alignment horizontal="left" vertical="top" wrapText="1" indent="1"/>
      <protection locked="0"/>
    </xf>
    <xf numFmtId="0" fontId="38" fillId="0" borderId="10" xfId="146" applyFont="1" applyBorder="1" applyAlignment="1" applyProtection="1">
      <alignment horizontal="left" vertical="top" wrapText="1"/>
      <protection locked="0"/>
    </xf>
    <xf numFmtId="3" fontId="38" fillId="0" borderId="10" xfId="146" applyNumberFormat="1" applyFont="1" applyBorder="1" applyAlignment="1" applyProtection="1">
      <alignment vertical="top" wrapText="1"/>
      <protection locked="0"/>
    </xf>
    <xf numFmtId="0" fontId="38" fillId="0" borderId="10" xfId="146" applyFont="1" applyBorder="1" applyAlignment="1" applyProtection="1">
      <alignment horizontal="left" vertical="top" wrapText="1" indent="2"/>
      <protection locked="0"/>
    </xf>
    <xf numFmtId="0" fontId="19" fillId="0" borderId="10" xfId="144" applyBorder="1" applyAlignment="1" applyProtection="1">
      <alignment horizontal="left" vertical="top" wrapText="1"/>
      <protection locked="0"/>
    </xf>
    <xf numFmtId="3" fontId="19" fillId="0" borderId="10" xfId="144" applyNumberFormat="1" applyBorder="1" applyAlignment="1" applyProtection="1">
      <alignment vertical="top" wrapText="1"/>
      <protection locked="0"/>
    </xf>
    <xf numFmtId="0" fontId="19" fillId="0" borderId="10" xfId="146" applyBorder="1" applyAlignment="1">
      <alignment vertical="top" wrapText="1"/>
    </xf>
    <xf numFmtId="0" fontId="19" fillId="0" borderId="10" xfId="146" applyBorder="1" applyAlignment="1">
      <alignment horizontal="left" vertical="top" wrapText="1"/>
    </xf>
    <xf numFmtId="3" fontId="19" fillId="0" borderId="10" xfId="146" applyNumberFormat="1" applyBorder="1" applyAlignment="1">
      <alignment vertical="top" wrapText="1"/>
    </xf>
    <xf numFmtId="0" fontId="77" fillId="0" borderId="10" xfId="144" applyFont="1" applyBorder="1" applyAlignment="1" applyProtection="1">
      <alignment horizontal="left" vertical="top" wrapText="1"/>
      <protection locked="0"/>
    </xf>
    <xf numFmtId="3" fontId="77" fillId="0" borderId="10" xfId="144" applyNumberFormat="1" applyFont="1" applyBorder="1" applyAlignment="1" applyProtection="1">
      <alignment vertical="top" wrapText="1"/>
      <protection locked="0"/>
    </xf>
    <xf numFmtId="3" fontId="19" fillId="0" borderId="0" xfId="146" applyNumberFormat="1"/>
    <xf numFmtId="49" fontId="19" fillId="0" borderId="10" xfId="148" applyNumberFormat="1" applyBorder="1" applyAlignment="1" applyProtection="1">
      <alignment horizontal="left" vertical="top" wrapText="1"/>
      <protection locked="0"/>
    </xf>
    <xf numFmtId="0" fontId="38" fillId="0" borderId="10" xfId="148" applyFont="1" applyBorder="1" applyAlignment="1" applyProtection="1">
      <alignment horizontal="left" vertical="top" wrapText="1" indent="1"/>
      <protection locked="0"/>
    </xf>
    <xf numFmtId="3" fontId="38" fillId="0" borderId="0" xfId="146" applyNumberFormat="1" applyFont="1"/>
    <xf numFmtId="0" fontId="19" fillId="0" borderId="10" xfId="45" applyBorder="1" applyAlignment="1" applyProtection="1">
      <alignment horizontal="left" vertical="top" wrapText="1"/>
      <protection locked="0"/>
    </xf>
    <xf numFmtId="3" fontId="19" fillId="0" borderId="10" xfId="45" applyNumberFormat="1" applyBorder="1" applyAlignment="1" applyProtection="1">
      <alignment vertical="top" wrapText="1"/>
      <protection locked="0"/>
    </xf>
    <xf numFmtId="0" fontId="42" fillId="0" borderId="10" xfId="148" applyFont="1" applyBorder="1" applyAlignment="1" applyProtection="1">
      <alignment horizontal="left" vertical="top" wrapText="1"/>
      <protection locked="0"/>
    </xf>
    <xf numFmtId="3" fontId="42" fillId="0" borderId="10" xfId="148" applyNumberFormat="1" applyFont="1" applyBorder="1" applyAlignment="1" applyProtection="1">
      <alignment vertical="top" wrapText="1"/>
      <protection locked="0"/>
    </xf>
    <xf numFmtId="0" fontId="42" fillId="0" borderId="10" xfId="148" applyFont="1" applyBorder="1" applyAlignment="1" applyProtection="1">
      <alignment horizontal="left" vertical="top" wrapText="1" indent="5"/>
      <protection locked="0"/>
    </xf>
    <xf numFmtId="0" fontId="42" fillId="0" borderId="10" xfId="148" applyFont="1" applyBorder="1" applyAlignment="1" applyProtection="1">
      <alignment horizontal="left" vertical="top" wrapText="1" indent="2"/>
      <protection locked="0"/>
    </xf>
    <xf numFmtId="0" fontId="19" fillId="0" borderId="10" xfId="148" applyBorder="1" applyAlignment="1" applyProtection="1">
      <alignment horizontal="left" vertical="top" wrapText="1" indent="2"/>
      <protection locked="0"/>
    </xf>
    <xf numFmtId="0" fontId="38" fillId="0" borderId="10" xfId="148" applyFont="1" applyBorder="1" applyAlignment="1" applyProtection="1">
      <alignment horizontal="left" vertical="top" wrapText="1" indent="4"/>
      <protection locked="0"/>
    </xf>
    <xf numFmtId="0" fontId="79" fillId="0" borderId="10" xfId="148" applyFont="1" applyBorder="1" applyAlignment="1" applyProtection="1">
      <alignment horizontal="left" vertical="top" wrapText="1" indent="4"/>
      <protection locked="0"/>
    </xf>
    <xf numFmtId="0" fontId="43" fillId="0" borderId="10" xfId="148" applyFont="1" applyBorder="1" applyAlignment="1" applyProtection="1">
      <alignment horizontal="right" vertical="top" wrapText="1" indent="4"/>
      <protection locked="0"/>
    </xf>
    <xf numFmtId="0" fontId="43" fillId="0" borderId="10" xfId="148" applyFont="1" applyBorder="1" applyAlignment="1" applyProtection="1">
      <alignment horizontal="left" vertical="top" wrapText="1"/>
      <protection locked="0"/>
    </xf>
    <xf numFmtId="3" fontId="43" fillId="0" borderId="10" xfId="148" applyNumberFormat="1" applyFont="1" applyBorder="1" applyAlignment="1" applyProtection="1">
      <alignment vertical="top" wrapText="1"/>
      <protection locked="0"/>
    </xf>
    <xf numFmtId="0" fontId="38" fillId="0" borderId="10" xfId="148" applyFont="1" applyBorder="1" applyAlignment="1" applyProtection="1">
      <alignment horizontal="right" vertical="top" wrapText="1" indent="4"/>
      <protection locked="0"/>
    </xf>
    <xf numFmtId="0" fontId="38" fillId="0" borderId="13" xfId="148" applyFont="1" applyBorder="1" applyAlignment="1" applyProtection="1">
      <alignment horizontal="left" vertical="top" wrapText="1" indent="4"/>
      <protection locked="0"/>
    </xf>
    <xf numFmtId="0" fontId="38" fillId="0" borderId="13" xfId="148" applyFont="1" applyBorder="1" applyAlignment="1" applyProtection="1">
      <alignment horizontal="left" vertical="top" wrapText="1"/>
      <protection locked="0"/>
    </xf>
    <xf numFmtId="3" fontId="38" fillId="0" borderId="13" xfId="148" applyNumberFormat="1" applyFont="1" applyBorder="1" applyAlignment="1" applyProtection="1">
      <alignment vertical="top" wrapText="1"/>
      <protection locked="0"/>
    </xf>
    <xf numFmtId="0" fontId="38" fillId="0" borderId="10" xfId="148" applyFont="1" applyBorder="1" applyAlignment="1" applyProtection="1">
      <alignment horizontal="right" vertical="top" wrapText="1"/>
      <protection locked="0"/>
    </xf>
    <xf numFmtId="0" fontId="40" fillId="0" borderId="10" xfId="148" applyFont="1" applyBorder="1" applyAlignment="1" applyProtection="1">
      <alignment horizontal="left" vertical="top" wrapText="1" indent="2"/>
      <protection locked="0"/>
    </xf>
    <xf numFmtId="0" fontId="40" fillId="0" borderId="10" xfId="148" applyFont="1" applyBorder="1" applyAlignment="1" applyProtection="1">
      <alignment horizontal="left" vertical="top" wrapText="1"/>
      <protection locked="0"/>
    </xf>
    <xf numFmtId="3" fontId="40" fillId="0" borderId="10" xfId="148" applyNumberFormat="1" applyFont="1" applyBorder="1" applyAlignment="1" applyProtection="1">
      <alignment vertical="top" wrapText="1"/>
      <protection locked="0"/>
    </xf>
    <xf numFmtId="0" fontId="38" fillId="0" borderId="12" xfId="148" applyFont="1" applyBorder="1" applyAlignment="1" applyProtection="1">
      <alignment horizontal="left" vertical="top" wrapText="1" indent="4"/>
      <protection locked="0"/>
    </xf>
    <xf numFmtId="0" fontId="38" fillId="0" borderId="12" xfId="148" applyFont="1" applyBorder="1" applyAlignment="1" applyProtection="1">
      <alignment horizontal="left" vertical="top" wrapText="1"/>
      <protection locked="0"/>
    </xf>
    <xf numFmtId="3" fontId="38" fillId="0" borderId="12" xfId="148" applyNumberFormat="1" applyFont="1" applyBorder="1" applyAlignment="1" applyProtection="1">
      <alignment vertical="top" wrapText="1"/>
      <protection locked="0"/>
    </xf>
    <xf numFmtId="0" fontId="19" fillId="0" borderId="10" xfId="148" applyBorder="1" applyAlignment="1" applyProtection="1">
      <alignment vertical="top" wrapText="1"/>
      <protection locked="0"/>
    </xf>
    <xf numFmtId="0" fontId="19" fillId="0" borderId="13" xfId="45" applyBorder="1" applyAlignment="1" applyProtection="1">
      <alignment horizontal="left" vertical="top" wrapText="1"/>
      <protection locked="0"/>
    </xf>
    <xf numFmtId="3" fontId="19" fillId="0" borderId="13" xfId="45" applyNumberFormat="1" applyBorder="1" applyAlignment="1" applyProtection="1">
      <alignment vertical="top" wrapText="1"/>
      <protection locked="0"/>
    </xf>
    <xf numFmtId="0" fontId="38" fillId="0" borderId="10" xfId="146" applyFont="1" applyBorder="1" applyAlignment="1">
      <alignment horizontal="left" vertical="top" wrapText="1" indent="3"/>
    </xf>
    <xf numFmtId="0" fontId="38" fillId="0" borderId="10" xfId="146" applyFont="1" applyBorder="1" applyAlignment="1">
      <alignment horizontal="left" vertical="top" wrapText="1"/>
    </xf>
    <xf numFmtId="3" fontId="38" fillId="0" borderId="10" xfId="146" applyNumberFormat="1" applyFont="1" applyBorder="1" applyAlignment="1">
      <alignment vertical="top" wrapText="1"/>
    </xf>
    <xf numFmtId="0" fontId="38" fillId="0" borderId="10" xfId="146" applyFont="1" applyBorder="1" applyAlignment="1">
      <alignment horizontal="left" vertical="top" indent="3"/>
    </xf>
    <xf numFmtId="0" fontId="38" fillId="0" borderId="10" xfId="146" applyFont="1" applyBorder="1" applyAlignment="1">
      <alignment horizontal="left" vertical="top"/>
    </xf>
    <xf numFmtId="3" fontId="38" fillId="0" borderId="10" xfId="146" applyNumberFormat="1" applyFont="1" applyBorder="1" applyAlignment="1">
      <alignment vertical="top"/>
    </xf>
    <xf numFmtId="0" fontId="38" fillId="0" borderId="10" xfId="146" applyFont="1" applyBorder="1" applyAlignment="1">
      <alignment horizontal="left" vertical="top" wrapText="1" indent="2"/>
    </xf>
    <xf numFmtId="0" fontId="38" fillId="0" borderId="10" xfId="146" applyFont="1" applyBorder="1" applyAlignment="1">
      <alignment horizontal="left" vertical="top" indent="2"/>
    </xf>
    <xf numFmtId="0" fontId="19" fillId="0" borderId="10" xfId="146" applyBorder="1" applyAlignment="1">
      <alignment vertical="top"/>
    </xf>
    <xf numFmtId="0" fontId="19" fillId="0" borderId="10" xfId="146" applyBorder="1" applyAlignment="1">
      <alignment horizontal="left" vertical="top"/>
    </xf>
    <xf numFmtId="3" fontId="19" fillId="0" borderId="10" xfId="146" applyNumberFormat="1" applyBorder="1" applyAlignment="1">
      <alignment vertical="top"/>
    </xf>
    <xf numFmtId="0" fontId="19" fillId="0" borderId="0" xfId="146" applyAlignment="1">
      <alignment vertical="top" wrapText="1"/>
    </xf>
    <xf numFmtId="0" fontId="19" fillId="0" borderId="0" xfId="148" applyAlignment="1" applyProtection="1">
      <alignment horizontal="left" vertical="top"/>
      <protection locked="0"/>
    </xf>
    <xf numFmtId="3" fontId="19" fillId="0" borderId="0" xfId="146" applyNumberFormat="1" applyAlignment="1">
      <alignment vertical="top"/>
    </xf>
    <xf numFmtId="3" fontId="19" fillId="0" borderId="0" xfId="148" applyNumberFormat="1" applyAlignment="1" applyProtection="1">
      <alignment vertical="top"/>
      <protection locked="0"/>
    </xf>
    <xf numFmtId="0" fontId="45" fillId="0" borderId="0" xfId="146" applyFont="1" applyAlignment="1" applyProtection="1">
      <alignment horizontal="left" vertical="top" wrapText="1"/>
      <protection locked="0"/>
    </xf>
    <xf numFmtId="0" fontId="81" fillId="0" borderId="0" xfId="148" applyFont="1" applyAlignment="1" applyProtection="1">
      <alignment horizontal="left" vertical="top"/>
      <protection locked="0"/>
    </xf>
    <xf numFmtId="0" fontId="45" fillId="0" borderId="0" xfId="146" applyFont="1" applyAlignment="1" applyProtection="1">
      <alignment horizontal="left" vertical="top"/>
      <protection locked="0"/>
    </xf>
    <xf numFmtId="0" fontId="19" fillId="0" borderId="0" xfId="146" applyAlignment="1" applyProtection="1">
      <alignment horizontal="left" vertical="top"/>
      <protection locked="0"/>
    </xf>
    <xf numFmtId="3" fontId="19" fillId="0" borderId="0" xfId="146" applyNumberFormat="1" applyAlignment="1" applyProtection="1">
      <alignment vertical="top"/>
      <protection locked="0"/>
    </xf>
    <xf numFmtId="3" fontId="70" fillId="28" borderId="10" xfId="146" applyNumberFormat="1" applyFont="1" applyFill="1" applyBorder="1" applyAlignment="1" applyProtection="1">
      <alignment vertical="top" wrapText="1"/>
      <protection locked="0"/>
    </xf>
    <xf numFmtId="0" fontId="19" fillId="0" borderId="10" xfId="148" applyBorder="1" applyAlignment="1" applyProtection="1">
      <alignment horizontal="center" vertical="top" wrapText="1"/>
      <protection locked="0"/>
    </xf>
    <xf numFmtId="3" fontId="38" fillId="0" borderId="10" xfId="148" applyNumberFormat="1" applyFont="1" applyBorder="1" applyAlignment="1" applyProtection="1">
      <alignment horizontal="right" vertical="top" wrapText="1"/>
      <protection locked="0"/>
    </xf>
    <xf numFmtId="4" fontId="19" fillId="0" borderId="10" xfId="148" applyNumberFormat="1" applyBorder="1" applyAlignment="1" applyProtection="1">
      <alignment vertical="top" wrapText="1"/>
      <protection locked="0"/>
    </xf>
    <xf numFmtId="0" fontId="38" fillId="0" borderId="10" xfId="148" applyFont="1" applyBorder="1" applyAlignment="1" applyProtection="1">
      <alignment horizontal="center" vertical="top" wrapText="1"/>
      <protection locked="0"/>
    </xf>
    <xf numFmtId="0" fontId="19" fillId="0" borderId="21" xfId="45" applyBorder="1"/>
    <xf numFmtId="3" fontId="19" fillId="0" borderId="14" xfId="148" applyNumberFormat="1" applyBorder="1" applyAlignment="1" applyProtection="1">
      <alignment vertical="top" wrapText="1"/>
      <protection locked="0"/>
    </xf>
    <xf numFmtId="3" fontId="19" fillId="30" borderId="10" xfId="148" applyNumberFormat="1" applyFill="1" applyBorder="1" applyAlignment="1" applyProtection="1">
      <alignment vertical="top"/>
      <protection locked="0"/>
    </xf>
    <xf numFmtId="3" fontId="19" fillId="30" borderId="10" xfId="148" applyNumberFormat="1" applyFill="1" applyBorder="1" applyAlignment="1" applyProtection="1">
      <alignment horizontal="center" vertical="top" wrapText="1"/>
      <protection locked="0"/>
    </xf>
    <xf numFmtId="3" fontId="19" fillId="0" borderId="10" xfId="148" applyNumberFormat="1" applyBorder="1" applyAlignment="1" applyProtection="1">
      <alignment horizontal="center" vertical="top" wrapText="1"/>
      <protection locked="0"/>
    </xf>
    <xf numFmtId="3" fontId="19" fillId="0" borderId="13" xfId="148" applyNumberFormat="1" applyBorder="1" applyAlignment="1" applyProtection="1">
      <alignment vertical="top" wrapText="1"/>
      <protection locked="0"/>
    </xf>
    <xf numFmtId="3" fontId="38" fillId="0" borderId="10" xfId="148" applyNumberFormat="1" applyFont="1" applyBorder="1" applyAlignment="1" applyProtection="1">
      <alignment horizontal="center" vertical="top" wrapText="1"/>
      <protection locked="0"/>
    </xf>
    <xf numFmtId="0" fontId="77" fillId="0" borderId="10" xfId="148" applyFont="1" applyBorder="1" applyAlignment="1" applyProtection="1">
      <alignment horizontal="center" vertical="top" wrapText="1"/>
      <protection locked="0"/>
    </xf>
    <xf numFmtId="0" fontId="83" fillId="0" borderId="10" xfId="148" applyFont="1" applyBorder="1" applyAlignment="1" applyProtection="1">
      <alignment horizontal="center" vertical="top" wrapText="1"/>
      <protection locked="0"/>
    </xf>
    <xf numFmtId="0" fontId="38" fillId="31" borderId="10" xfId="148" applyFont="1" applyFill="1" applyBorder="1" applyAlignment="1" applyProtection="1">
      <alignment horizontal="center" vertical="top" wrapText="1"/>
      <protection locked="0"/>
    </xf>
    <xf numFmtId="3" fontId="38" fillId="30" borderId="10" xfId="148" applyNumberFormat="1" applyFont="1" applyFill="1" applyBorder="1" applyAlignment="1" applyProtection="1">
      <alignment horizontal="center" vertical="top" wrapText="1"/>
      <protection locked="0"/>
    </xf>
    <xf numFmtId="0" fontId="38" fillId="32" borderId="10" xfId="148" applyFont="1" applyFill="1" applyBorder="1" applyAlignment="1" applyProtection="1">
      <alignment horizontal="center" vertical="top" wrapText="1"/>
      <protection locked="0"/>
    </xf>
    <xf numFmtId="0" fontId="38" fillId="33" borderId="10" xfId="148" applyFont="1" applyFill="1" applyBorder="1" applyAlignment="1" applyProtection="1">
      <alignment horizontal="center" vertical="top" wrapText="1"/>
      <protection locked="0"/>
    </xf>
    <xf numFmtId="0" fontId="38" fillId="34" borderId="10" xfId="148" applyFont="1" applyFill="1" applyBorder="1" applyAlignment="1" applyProtection="1">
      <alignment horizontal="center" vertical="top" wrapText="1"/>
      <protection locked="0"/>
    </xf>
    <xf numFmtId="0" fontId="38" fillId="35" borderId="10" xfId="148" applyFont="1" applyFill="1" applyBorder="1" applyAlignment="1" applyProtection="1">
      <alignment horizontal="center" vertical="top" wrapText="1"/>
      <protection locked="0"/>
    </xf>
    <xf numFmtId="0" fontId="38" fillId="36" borderId="10" xfId="148" applyFont="1" applyFill="1" applyBorder="1" applyAlignment="1" applyProtection="1">
      <alignment horizontal="center" vertical="top" wrapText="1"/>
      <protection locked="0"/>
    </xf>
    <xf numFmtId="0" fontId="78" fillId="30" borderId="10" xfId="148" applyFont="1" applyFill="1" applyBorder="1" applyAlignment="1" applyProtection="1">
      <alignment horizontal="left" vertical="top" wrapText="1"/>
      <protection locked="0"/>
    </xf>
    <xf numFmtId="0" fontId="78" fillId="30" borderId="10" xfId="148" applyFont="1" applyFill="1" applyBorder="1" applyAlignment="1" applyProtection="1">
      <alignment horizontal="center" vertical="top" wrapText="1"/>
      <protection locked="0"/>
    </xf>
    <xf numFmtId="3" fontId="78" fillId="30" borderId="10" xfId="148" applyNumberFormat="1" applyFont="1" applyFill="1" applyBorder="1" applyAlignment="1" applyProtection="1">
      <alignment vertical="top" wrapText="1"/>
      <protection locked="0"/>
    </xf>
    <xf numFmtId="3" fontId="70" fillId="29" borderId="10" xfId="148" applyNumberFormat="1" applyFont="1" applyFill="1" applyBorder="1" applyAlignment="1" applyProtection="1">
      <alignment vertical="top" wrapText="1"/>
      <protection locked="0"/>
    </xf>
    <xf numFmtId="0" fontId="38" fillId="0" borderId="0" xfId="45" applyFont="1" applyAlignment="1">
      <alignment wrapText="1"/>
    </xf>
    <xf numFmtId="0" fontId="38" fillId="30" borderId="10" xfId="144" applyFont="1" applyFill="1" applyBorder="1" applyAlignment="1" applyProtection="1">
      <alignment horizontal="left" vertical="top" wrapText="1"/>
      <protection locked="0"/>
    </xf>
    <xf numFmtId="0" fontId="38" fillId="30" borderId="10" xfId="144" applyFont="1" applyFill="1" applyBorder="1" applyAlignment="1" applyProtection="1">
      <alignment horizontal="center" vertical="top" wrapText="1"/>
      <protection locked="0"/>
    </xf>
    <xf numFmtId="3" fontId="38" fillId="30" borderId="10" xfId="144" applyNumberFormat="1" applyFont="1" applyFill="1" applyBorder="1" applyAlignment="1" applyProtection="1">
      <alignment vertical="top" wrapText="1"/>
      <protection locked="0"/>
    </xf>
    <xf numFmtId="0" fontId="38" fillId="0" borderId="10" xfId="144" applyFont="1" applyBorder="1" applyAlignment="1" applyProtection="1">
      <alignment horizontal="center" vertical="top" wrapText="1"/>
      <protection locked="0"/>
    </xf>
    <xf numFmtId="0" fontId="38" fillId="0" borderId="10" xfId="144" applyFont="1" applyBorder="1" applyAlignment="1" applyProtection="1">
      <alignment horizontal="center" vertical="top"/>
      <protection locked="0"/>
    </xf>
    <xf numFmtId="0" fontId="19" fillId="0" borderId="10" xfId="148" applyBorder="1" applyAlignment="1" applyProtection="1">
      <alignment horizontal="center" vertical="top"/>
      <protection locked="0"/>
    </xf>
    <xf numFmtId="3" fontId="77" fillId="0" borderId="10" xfId="148" applyNumberFormat="1" applyFont="1" applyBorder="1" applyAlignment="1" applyProtection="1">
      <alignment vertical="top"/>
      <protection locked="0"/>
    </xf>
    <xf numFmtId="0" fontId="38" fillId="0" borderId="10" xfId="148" applyFont="1" applyBorder="1" applyAlignment="1" applyProtection="1">
      <alignment horizontal="center" vertical="top"/>
      <protection locked="0"/>
    </xf>
    <xf numFmtId="168" fontId="19" fillId="0" borderId="0" xfId="45" applyNumberFormat="1" applyAlignment="1">
      <alignment vertical="top"/>
    </xf>
    <xf numFmtId="3" fontId="19" fillId="0" borderId="10" xfId="148" applyNumberFormat="1" applyBorder="1" applyAlignment="1" applyProtection="1">
      <alignment horizontal="left" vertical="top" wrapText="1"/>
      <protection locked="0"/>
    </xf>
    <xf numFmtId="0" fontId="19" fillId="0" borderId="10" xfId="146" applyBorder="1" applyAlignment="1" applyProtection="1">
      <alignment horizontal="center" vertical="top" wrapText="1"/>
      <protection locked="0"/>
    </xf>
    <xf numFmtId="0" fontId="38" fillId="30" borderId="10" xfId="146" applyFont="1" applyFill="1" applyBorder="1" applyAlignment="1">
      <alignment vertical="top" wrapText="1"/>
    </xf>
    <xf numFmtId="0" fontId="38" fillId="0" borderId="10" xfId="146" applyFont="1" applyBorder="1" applyAlignment="1" applyProtection="1">
      <alignment horizontal="center" vertical="top" wrapText="1"/>
      <protection locked="0"/>
    </xf>
    <xf numFmtId="0" fontId="19" fillId="0" borderId="10" xfId="144" applyBorder="1" applyAlignment="1" applyProtection="1">
      <alignment horizontal="center" vertical="top" wrapText="1"/>
      <protection locked="0"/>
    </xf>
    <xf numFmtId="0" fontId="19" fillId="0" borderId="10" xfId="146" applyBorder="1" applyAlignment="1">
      <alignment horizontal="center" vertical="top" wrapText="1"/>
    </xf>
    <xf numFmtId="0" fontId="77" fillId="0" borderId="10" xfId="144" applyFont="1" applyBorder="1" applyAlignment="1" applyProtection="1">
      <alignment horizontal="center" vertical="top" wrapText="1"/>
      <protection locked="0"/>
    </xf>
    <xf numFmtId="3" fontId="78" fillId="0" borderId="10" xfId="144" applyNumberFormat="1" applyFont="1" applyBorder="1" applyAlignment="1" applyProtection="1">
      <alignment vertical="top" wrapText="1"/>
      <protection locked="0"/>
    </xf>
    <xf numFmtId="0" fontId="19" fillId="30" borderId="10" xfId="148" applyFill="1" applyBorder="1" applyAlignment="1" applyProtection="1">
      <alignment horizontal="left" vertical="top" wrapText="1"/>
      <protection locked="0"/>
    </xf>
    <xf numFmtId="0" fontId="19" fillId="30" borderId="10" xfId="148" applyFill="1" applyBorder="1" applyAlignment="1" applyProtection="1">
      <alignment horizontal="center" vertical="top" wrapText="1"/>
      <protection locked="0"/>
    </xf>
    <xf numFmtId="3" fontId="19" fillId="30" borderId="10" xfId="148" applyNumberFormat="1" applyFill="1" applyBorder="1" applyAlignment="1" applyProtection="1">
      <alignment vertical="top" wrapText="1"/>
      <protection locked="0"/>
    </xf>
    <xf numFmtId="49" fontId="19" fillId="0" borderId="10" xfId="148" applyNumberFormat="1" applyBorder="1" applyAlignment="1" applyProtection="1">
      <alignment horizontal="center" vertical="top" wrapText="1"/>
      <protection locked="0"/>
    </xf>
    <xf numFmtId="3" fontId="0" fillId="0" borderId="10" xfId="148" applyNumberFormat="1" applyFont="1" applyBorder="1" applyAlignment="1" applyProtection="1">
      <alignment vertical="top" wrapText="1"/>
      <protection locked="0"/>
    </xf>
    <xf numFmtId="3" fontId="38" fillId="30" borderId="10" xfId="148" applyNumberFormat="1" applyFont="1" applyFill="1" applyBorder="1" applyAlignment="1" applyProtection="1">
      <alignment vertical="top" wrapText="1"/>
      <protection locked="0"/>
    </xf>
    <xf numFmtId="0" fontId="38" fillId="30" borderId="10" xfId="148" applyFont="1" applyFill="1" applyBorder="1" applyAlignment="1" applyProtection="1">
      <alignment horizontal="left" vertical="top" wrapText="1"/>
      <protection locked="0"/>
    </xf>
    <xf numFmtId="0" fontId="38" fillId="30" borderId="10" xfId="148" applyFont="1" applyFill="1" applyBorder="1" applyAlignment="1" applyProtection="1">
      <alignment horizontal="center" vertical="top" wrapText="1"/>
      <protection locked="0"/>
    </xf>
    <xf numFmtId="3" fontId="38" fillId="0" borderId="10" xfId="45" applyNumberFormat="1" applyFont="1" applyBorder="1" applyAlignment="1" applyProtection="1">
      <alignment vertical="top" wrapText="1"/>
      <protection locked="0"/>
    </xf>
    <xf numFmtId="3" fontId="84" fillId="0" borderId="10" xfId="148" applyNumberFormat="1" applyFont="1" applyBorder="1" applyAlignment="1" applyProtection="1">
      <alignment vertical="top" wrapText="1"/>
      <protection locked="0"/>
    </xf>
    <xf numFmtId="3" fontId="38" fillId="0" borderId="13" xfId="45" applyNumberFormat="1" applyFont="1" applyBorder="1" applyAlignment="1" applyProtection="1">
      <alignment vertical="top" wrapText="1"/>
      <protection locked="0"/>
    </xf>
    <xf numFmtId="3" fontId="19" fillId="0" borderId="0" xfId="146" applyNumberFormat="1" applyAlignment="1">
      <alignment horizontal="right"/>
    </xf>
    <xf numFmtId="0" fontId="78" fillId="0" borderId="0" xfId="146" applyFont="1"/>
    <xf numFmtId="0" fontId="38" fillId="0" borderId="10" xfId="146" applyFont="1" applyBorder="1" applyAlignment="1">
      <alignment vertical="center" wrapText="1"/>
    </xf>
    <xf numFmtId="0" fontId="38" fillId="0" borderId="10" xfId="146" applyFont="1" applyBorder="1" applyAlignment="1">
      <alignment vertical="top" wrapText="1"/>
    </xf>
    <xf numFmtId="0" fontId="19" fillId="0" borderId="20" xfId="146" applyBorder="1" applyAlignment="1">
      <alignment horizontal="center" vertical="top" wrapText="1"/>
    </xf>
    <xf numFmtId="0" fontId="19" fillId="0" borderId="20" xfId="146" applyBorder="1" applyAlignment="1">
      <alignment horizontal="left" vertical="top" wrapText="1"/>
    </xf>
    <xf numFmtId="3" fontId="19" fillId="0" borderId="20" xfId="146" applyNumberFormat="1" applyBorder="1" applyAlignment="1">
      <alignment vertical="top" wrapText="1"/>
    </xf>
    <xf numFmtId="3" fontId="38" fillId="0" borderId="20" xfId="146" applyNumberFormat="1" applyFont="1" applyBorder="1" applyAlignment="1">
      <alignment vertical="top" wrapText="1"/>
    </xf>
    <xf numFmtId="0" fontId="5" fillId="0" borderId="0" xfId="277"/>
    <xf numFmtId="0" fontId="67" fillId="0" borderId="0" xfId="277" applyFont="1"/>
    <xf numFmtId="0" fontId="19" fillId="0" borderId="10" xfId="277" applyFont="1" applyBorder="1" applyAlignment="1">
      <alignment vertical="top" wrapText="1"/>
    </xf>
    <xf numFmtId="0" fontId="19" fillId="0" borderId="10" xfId="277" applyFont="1" applyBorder="1" applyAlignment="1">
      <alignment horizontal="left" vertical="top" wrapText="1"/>
    </xf>
    <xf numFmtId="0" fontId="19" fillId="0" borderId="10" xfId="277" applyFont="1" applyBorder="1" applyAlignment="1">
      <alignment horizontal="center" vertical="top" wrapText="1"/>
    </xf>
    <xf numFmtId="3" fontId="19" fillId="0" borderId="10" xfId="277" applyNumberFormat="1" applyFont="1" applyBorder="1" applyAlignment="1">
      <alignment vertical="top" wrapText="1"/>
    </xf>
    <xf numFmtId="3" fontId="38" fillId="0" borderId="10" xfId="277" applyNumberFormat="1" applyFont="1" applyBorder="1" applyAlignment="1">
      <alignment vertical="top" wrapText="1"/>
    </xf>
    <xf numFmtId="3" fontId="19" fillId="0" borderId="10" xfId="277" applyNumberFormat="1" applyFont="1" applyBorder="1" applyAlignment="1">
      <alignment vertical="top"/>
    </xf>
    <xf numFmtId="0" fontId="68" fillId="0" borderId="0" xfId="277" applyFont="1"/>
    <xf numFmtId="9" fontId="19" fillId="0" borderId="10" xfId="42" applyFont="1" applyBorder="1" applyAlignment="1" applyProtection="1">
      <alignment vertical="top" wrapText="1"/>
      <protection locked="0"/>
    </xf>
    <xf numFmtId="169" fontId="19" fillId="0" borderId="11" xfId="146" applyNumberFormat="1" applyBorder="1"/>
    <xf numFmtId="0" fontId="19" fillId="0" borderId="10" xfId="278" applyFont="1" applyBorder="1" applyAlignment="1" applyProtection="1">
      <alignment horizontal="right" vertical="top" wrapText="1"/>
      <protection locked="0"/>
    </xf>
    <xf numFmtId="0" fontId="19" fillId="0" borderId="10" xfId="278" applyFont="1" applyBorder="1" applyAlignment="1" applyProtection="1">
      <alignment horizontal="left" vertical="top" wrapText="1"/>
      <protection locked="0"/>
    </xf>
    <xf numFmtId="3" fontId="19" fillId="0" borderId="10" xfId="278" applyNumberFormat="1" applyFont="1" applyBorder="1" applyAlignment="1" applyProtection="1">
      <alignment vertical="top" wrapText="1"/>
      <protection locked="0"/>
    </xf>
    <xf numFmtId="3" fontId="38" fillId="0" borderId="10" xfId="278" applyNumberFormat="1" applyFont="1" applyBorder="1" applyAlignment="1" applyProtection="1">
      <alignment vertical="top" wrapText="1"/>
      <protection locked="0"/>
    </xf>
    <xf numFmtId="0" fontId="19" fillId="0" borderId="13" xfId="278" applyFont="1" applyBorder="1" applyAlignment="1" applyProtection="1">
      <alignment horizontal="left" vertical="top" wrapText="1"/>
      <protection locked="0"/>
    </xf>
    <xf numFmtId="3" fontId="19" fillId="0" borderId="13" xfId="278" applyNumberFormat="1" applyFont="1" applyBorder="1" applyAlignment="1" applyProtection="1">
      <alignment vertical="top" wrapText="1"/>
      <protection locked="0"/>
    </xf>
    <xf numFmtId="3" fontId="38" fillId="0" borderId="13" xfId="278" applyNumberFormat="1" applyFont="1" applyBorder="1" applyAlignment="1" applyProtection="1">
      <alignment vertical="top" wrapText="1"/>
      <protection locked="0"/>
    </xf>
    <xf numFmtId="0" fontId="39" fillId="0" borderId="0" xfId="146" applyFont="1" applyAlignment="1">
      <alignment vertical="top"/>
    </xf>
    <xf numFmtId="0" fontId="39" fillId="0" borderId="0" xfId="146" applyFont="1"/>
    <xf numFmtId="0" fontId="19" fillId="0" borderId="0" xfId="146" applyAlignment="1">
      <alignment horizontal="justify" vertical="center"/>
    </xf>
    <xf numFmtId="3" fontId="38" fillId="0" borderId="0" xfId="148" applyNumberFormat="1" applyFont="1" applyBorder="1" applyAlignment="1" applyProtection="1">
      <alignment vertical="top" wrapText="1"/>
      <protection locked="0"/>
    </xf>
    <xf numFmtId="3" fontId="38" fillId="0" borderId="22" xfId="148" applyNumberFormat="1" applyFont="1" applyBorder="1" applyAlignment="1" applyProtection="1">
      <alignment vertical="top" wrapText="1"/>
      <protection locked="0"/>
    </xf>
    <xf numFmtId="3" fontId="19" fillId="0" borderId="22" xfId="278" applyNumberFormat="1" applyFont="1" applyBorder="1" applyAlignment="1" applyProtection="1">
      <alignment vertical="top" wrapText="1"/>
      <protection locked="0"/>
    </xf>
    <xf numFmtId="3" fontId="19" fillId="0" borderId="22" xfId="45" applyNumberFormat="1" applyBorder="1" applyAlignment="1" applyProtection="1">
      <alignment vertical="top" wrapText="1"/>
      <protection locked="0"/>
    </xf>
    <xf numFmtId="0" fontId="19" fillId="37" borderId="10" xfId="148" applyFill="1" applyBorder="1" applyAlignment="1" applyProtection="1">
      <alignment horizontal="left" vertical="top" wrapText="1"/>
      <protection locked="0"/>
    </xf>
    <xf numFmtId="0" fontId="19" fillId="37" borderId="10" xfId="148" applyFill="1" applyBorder="1" applyAlignment="1" applyProtection="1">
      <alignment horizontal="left" vertical="top"/>
      <protection locked="0"/>
    </xf>
    <xf numFmtId="3" fontId="19" fillId="37" borderId="16" xfId="148" applyNumberFormat="1" applyFill="1" applyBorder="1" applyAlignment="1" applyProtection="1">
      <alignment vertical="top"/>
      <protection locked="0"/>
    </xf>
    <xf numFmtId="0" fontId="19" fillId="37" borderId="10" xfId="148" applyFill="1" applyBorder="1" applyAlignment="1" applyProtection="1">
      <alignment horizontal="right" vertical="top" wrapText="1"/>
      <protection locked="0"/>
    </xf>
    <xf numFmtId="0" fontId="19" fillId="37" borderId="23" xfId="148" applyFill="1" applyBorder="1" applyAlignment="1" applyProtection="1">
      <alignment horizontal="left" vertical="top"/>
      <protection locked="0"/>
    </xf>
    <xf numFmtId="0" fontId="19" fillId="37" borderId="18" xfId="148" applyFill="1" applyBorder="1" applyAlignment="1" applyProtection="1">
      <alignment horizontal="left" vertical="top" wrapText="1" indent="2"/>
      <protection locked="0"/>
    </xf>
    <xf numFmtId="0" fontId="38" fillId="0" borderId="0" xfId="148" applyFont="1" applyBorder="1" applyAlignment="1" applyProtection="1">
      <alignment horizontal="center" vertical="top" wrapText="1"/>
      <protection locked="0"/>
    </xf>
    <xf numFmtId="0" fontId="38" fillId="37" borderId="10" xfId="148" applyFont="1" applyFill="1" applyBorder="1" applyAlignment="1" applyProtection="1">
      <alignment horizontal="left" vertical="top" wrapText="1" indent="2"/>
      <protection locked="0"/>
    </xf>
    <xf numFmtId="0" fontId="38" fillId="37" borderId="10" xfId="148" applyFont="1" applyFill="1" applyBorder="1" applyAlignment="1" applyProtection="1">
      <alignment horizontal="left" vertical="top" wrapText="1"/>
      <protection locked="0"/>
    </xf>
    <xf numFmtId="0" fontId="38" fillId="37" borderId="10" xfId="146" applyFont="1" applyFill="1" applyBorder="1" applyAlignment="1" applyProtection="1">
      <alignment horizontal="left" vertical="top" wrapText="1" indent="2"/>
      <protection locked="0"/>
    </xf>
    <xf numFmtId="0" fontId="38" fillId="37" borderId="10" xfId="146" applyFont="1" applyFill="1" applyBorder="1" applyAlignment="1" applyProtection="1">
      <alignment horizontal="left" vertical="top" wrapText="1"/>
      <protection locked="0"/>
    </xf>
    <xf numFmtId="0" fontId="19" fillId="0" borderId="10" xfId="275" applyFont="1" applyBorder="1" applyAlignment="1">
      <alignment vertical="top" wrapText="1"/>
    </xf>
    <xf numFmtId="0" fontId="19" fillId="0" borderId="10" xfId="275" applyFont="1" applyBorder="1" applyAlignment="1">
      <alignment horizontal="left" vertical="top" wrapText="1"/>
    </xf>
    <xf numFmtId="0" fontId="19" fillId="37" borderId="10" xfId="146" applyFill="1" applyBorder="1" applyAlignment="1">
      <alignment vertical="top" wrapText="1"/>
    </xf>
    <xf numFmtId="0" fontId="38" fillId="0" borderId="22" xfId="148" applyFont="1" applyBorder="1" applyAlignment="1" applyProtection="1">
      <alignment horizontal="left" vertical="top" wrapText="1" indent="4"/>
      <protection locked="0"/>
    </xf>
    <xf numFmtId="0" fontId="38" fillId="0" borderId="22" xfId="148" applyFont="1" applyBorder="1" applyAlignment="1" applyProtection="1">
      <alignment horizontal="left" vertical="top" wrapText="1"/>
      <protection locked="0"/>
    </xf>
    <xf numFmtId="0" fontId="38" fillId="37" borderId="10" xfId="148" applyFont="1" applyFill="1" applyBorder="1" applyAlignment="1" applyProtection="1">
      <alignment horizontal="left" vertical="top" wrapText="1" indent="4"/>
      <protection locked="0"/>
    </xf>
    <xf numFmtId="0" fontId="38" fillId="37" borderId="10" xfId="148" applyFont="1" applyFill="1" applyBorder="1" applyAlignment="1" applyProtection="1">
      <alignment horizontal="right" vertical="top" wrapText="1"/>
      <protection locked="0"/>
    </xf>
    <xf numFmtId="0" fontId="38" fillId="37" borderId="10" xfId="146" applyFont="1" applyFill="1" applyBorder="1" applyAlignment="1">
      <alignment horizontal="left" vertical="top" wrapText="1" indent="2"/>
    </xf>
    <xf numFmtId="0" fontId="38" fillId="37" borderId="10" xfId="146" applyFont="1" applyFill="1" applyBorder="1" applyAlignment="1">
      <alignment horizontal="left" vertical="top" wrapText="1"/>
    </xf>
    <xf numFmtId="3" fontId="19" fillId="0" borderId="10" xfId="144" applyNumberFormat="1" applyBorder="1" applyAlignment="1" applyProtection="1">
      <alignment horizontal="right" vertical="top"/>
      <protection locked="0"/>
    </xf>
    <xf numFmtId="0" fontId="19" fillId="0" borderId="10" xfId="286" applyFont="1" applyBorder="1" applyAlignment="1">
      <alignment vertical="top"/>
    </xf>
    <xf numFmtId="0" fontId="38" fillId="0" borderId="10" xfId="146" applyFont="1" applyBorder="1" applyAlignment="1">
      <alignment vertical="top"/>
    </xf>
    <xf numFmtId="3" fontId="19" fillId="0" borderId="10" xfId="286" applyNumberFormat="1" applyFont="1" applyBorder="1" applyAlignment="1" applyProtection="1">
      <alignment vertical="top"/>
      <protection locked="0"/>
    </xf>
    <xf numFmtId="3" fontId="38" fillId="0" borderId="10" xfId="0" applyNumberFormat="1" applyFont="1" applyBorder="1" applyAlignment="1">
      <alignment vertical="top"/>
    </xf>
    <xf numFmtId="3" fontId="19" fillId="0" borderId="10" xfId="146" applyNumberFormat="1" applyFill="1" applyBorder="1" applyAlignment="1" applyProtection="1">
      <alignment vertical="top" wrapText="1"/>
      <protection locked="0"/>
    </xf>
    <xf numFmtId="3" fontId="77" fillId="0" borderId="10" xfId="148" applyNumberFormat="1" applyFont="1" applyFill="1" applyBorder="1" applyAlignment="1" applyProtection="1">
      <alignment vertical="top" wrapText="1"/>
      <protection locked="0"/>
    </xf>
    <xf numFmtId="3" fontId="19" fillId="0" borderId="10" xfId="148" applyNumberFormat="1" applyFill="1" applyBorder="1" applyAlignment="1" applyProtection="1">
      <alignment vertical="top" wrapText="1"/>
      <protection locked="0"/>
    </xf>
    <xf numFmtId="3" fontId="38" fillId="0" borderId="10" xfId="148" applyNumberFormat="1" applyFont="1" applyFill="1" applyBorder="1" applyAlignment="1" applyProtection="1">
      <alignment vertical="top" wrapText="1"/>
      <protection locked="0"/>
    </xf>
    <xf numFmtId="3" fontId="19" fillId="0" borderId="10" xfId="148" applyNumberFormat="1" applyFill="1" applyBorder="1" applyAlignment="1" applyProtection="1">
      <alignment vertical="top"/>
      <protection locked="0"/>
    </xf>
    <xf numFmtId="3" fontId="38" fillId="0" borderId="10" xfId="148" applyNumberFormat="1" applyFont="1" applyFill="1" applyBorder="1" applyAlignment="1" applyProtection="1">
      <alignment vertical="top"/>
      <protection locked="0"/>
    </xf>
    <xf numFmtId="3" fontId="38" fillId="0" borderId="10" xfId="144" applyNumberFormat="1" applyFont="1" applyFill="1" applyBorder="1" applyAlignment="1" applyProtection="1">
      <alignment vertical="top" wrapText="1"/>
      <protection locked="0"/>
    </xf>
    <xf numFmtId="3" fontId="19" fillId="0" borderId="10" xfId="148" applyNumberFormat="1" applyFont="1" applyBorder="1" applyAlignment="1" applyProtection="1">
      <alignment vertical="top" wrapText="1"/>
      <protection locked="0"/>
    </xf>
    <xf numFmtId="3" fontId="38" fillId="0" borderId="10" xfId="146" applyNumberFormat="1" applyFont="1" applyFill="1" applyBorder="1" applyAlignment="1" applyProtection="1">
      <alignment vertical="top" wrapText="1"/>
      <protection locked="0"/>
    </xf>
    <xf numFmtId="3" fontId="19" fillId="0" borderId="10" xfId="144" applyNumberFormat="1" applyFill="1" applyBorder="1" applyAlignment="1" applyProtection="1">
      <alignment vertical="top" wrapText="1"/>
      <protection locked="0"/>
    </xf>
    <xf numFmtId="3" fontId="19" fillId="0" borderId="10" xfId="277" applyNumberFormat="1" applyFont="1" applyFill="1" applyBorder="1" applyAlignment="1">
      <alignment vertical="top" wrapText="1"/>
    </xf>
    <xf numFmtId="0" fontId="19" fillId="0" borderId="10" xfId="45" applyFill="1" applyBorder="1" applyAlignment="1" applyProtection="1">
      <alignment horizontal="left" vertical="top" wrapText="1"/>
      <protection locked="0"/>
    </xf>
    <xf numFmtId="3" fontId="19" fillId="0" borderId="10" xfId="45" applyNumberFormat="1" applyFill="1" applyBorder="1" applyAlignment="1" applyProtection="1">
      <alignment vertical="top" wrapText="1"/>
      <protection locked="0"/>
    </xf>
    <xf numFmtId="3" fontId="38" fillId="0" borderId="10" xfId="45" applyNumberFormat="1" applyFont="1" applyFill="1" applyBorder="1" applyAlignment="1" applyProtection="1">
      <alignment vertical="top" wrapText="1"/>
      <protection locked="0"/>
    </xf>
    <xf numFmtId="3" fontId="19" fillId="0" borderId="10" xfId="45" quotePrefix="1" applyNumberFormat="1" applyFill="1" applyBorder="1" applyAlignment="1" applyProtection="1">
      <alignment vertical="top" wrapText="1"/>
      <protection locked="0"/>
    </xf>
    <xf numFmtId="0" fontId="19" fillId="0" borderId="10" xfId="148" applyFill="1" applyBorder="1" applyAlignment="1" applyProtection="1">
      <alignment horizontal="left" vertical="top" wrapText="1"/>
      <protection locked="0"/>
    </xf>
    <xf numFmtId="3" fontId="38" fillId="0" borderId="10" xfId="146" applyNumberFormat="1" applyFont="1" applyFill="1" applyBorder="1" applyAlignment="1">
      <alignment vertical="top" wrapText="1"/>
    </xf>
    <xf numFmtId="3" fontId="38" fillId="0" borderId="10" xfId="146" applyNumberFormat="1" applyFont="1" applyFill="1" applyBorder="1" applyAlignment="1">
      <alignment vertical="top"/>
    </xf>
    <xf numFmtId="0" fontId="38" fillId="0" borderId="10" xfId="148" applyFont="1" applyFill="1" applyBorder="1" applyAlignment="1" applyProtection="1">
      <alignment horizontal="left" vertical="top" wrapText="1" indent="2"/>
      <protection locked="0"/>
    </xf>
    <xf numFmtId="0" fontId="19" fillId="0" borderId="10" xfId="146" applyFill="1" applyBorder="1" applyAlignment="1">
      <alignment vertical="top" wrapText="1"/>
    </xf>
    <xf numFmtId="0" fontId="19" fillId="0" borderId="10" xfId="146" applyFill="1" applyBorder="1" applyAlignment="1">
      <alignment horizontal="left" vertical="top" wrapText="1"/>
    </xf>
    <xf numFmtId="3" fontId="19" fillId="0" borderId="10" xfId="146" applyNumberFormat="1" applyFill="1" applyBorder="1" applyAlignment="1">
      <alignment vertical="top" wrapText="1"/>
    </xf>
    <xf numFmtId="0" fontId="19" fillId="0" borderId="0" xfId="45" applyFill="1"/>
    <xf numFmtId="3" fontId="19" fillId="0" borderId="0" xfId="45" applyNumberFormat="1" applyFill="1"/>
    <xf numFmtId="3" fontId="19" fillId="0" borderId="0" xfId="146" applyNumberFormat="1" applyFill="1"/>
    <xf numFmtId="0" fontId="19" fillId="0" borderId="0" xfId="146" applyFill="1"/>
    <xf numFmtId="0" fontId="38" fillId="0" borderId="0" xfId="146" applyFont="1" applyFill="1"/>
    <xf numFmtId="0" fontId="38" fillId="0" borderId="0" xfId="45" applyFont="1" applyFill="1"/>
    <xf numFmtId="0" fontId="46" fillId="0" borderId="0" xfId="146" applyFont="1" applyFill="1"/>
    <xf numFmtId="0" fontId="5" fillId="0" borderId="0" xfId="277" applyFill="1"/>
    <xf numFmtId="0" fontId="67" fillId="0" borderId="0" xfId="277" applyFont="1" applyFill="1"/>
    <xf numFmtId="0" fontId="68" fillId="0" borderId="0" xfId="277" applyFont="1" applyFill="1"/>
    <xf numFmtId="9" fontId="19" fillId="0" borderId="0" xfId="42" applyFont="1" applyFill="1"/>
    <xf numFmtId="9" fontId="19" fillId="0" borderId="0" xfId="146" applyNumberFormat="1" applyFill="1"/>
    <xf numFmtId="3" fontId="19" fillId="0" borderId="0" xfId="146" applyNumberFormat="1" applyFill="1" applyAlignment="1">
      <alignment vertical="top"/>
    </xf>
    <xf numFmtId="3" fontId="38" fillId="0" borderId="0" xfId="146" applyNumberFormat="1" applyFont="1" applyAlignment="1">
      <alignment horizontal="right" wrapText="1"/>
    </xf>
    <xf numFmtId="3" fontId="82" fillId="0" borderId="0" xfId="45" applyNumberFormat="1" applyFont="1" applyAlignment="1">
      <alignment wrapText="1"/>
    </xf>
    <xf numFmtId="3" fontId="38" fillId="0" borderId="0" xfId="148" applyNumberFormat="1" applyFont="1" applyAlignment="1" applyProtection="1">
      <alignment vertical="top" wrapText="1"/>
      <protection locked="0"/>
    </xf>
    <xf numFmtId="3" fontId="38" fillId="0" borderId="0" xfId="45" applyNumberFormat="1" applyFont="1" applyAlignment="1">
      <alignment wrapText="1"/>
    </xf>
    <xf numFmtId="0" fontId="76" fillId="0" borderId="10" xfId="45" applyFont="1" applyFill="1" applyBorder="1" applyAlignment="1">
      <alignment horizontal="center" vertical="top" wrapText="1"/>
    </xf>
    <xf numFmtId="0" fontId="85" fillId="0" borderId="0" xfId="0" applyFont="1" applyAlignment="1">
      <alignment horizontal="right"/>
    </xf>
    <xf numFmtId="0" fontId="75" fillId="27" borderId="16" xfId="45" applyFont="1" applyFill="1" applyBorder="1" applyAlignment="1">
      <alignment horizontal="center"/>
    </xf>
    <xf numFmtId="0" fontId="75" fillId="27" borderId="15" xfId="45" applyFont="1" applyFill="1" applyBorder="1" applyAlignment="1">
      <alignment horizontal="center"/>
    </xf>
    <xf numFmtId="0" fontId="75" fillId="27" borderId="14" xfId="45" applyFont="1" applyFill="1" applyBorder="1" applyAlignment="1">
      <alignment horizontal="center"/>
    </xf>
    <xf numFmtId="0" fontId="75" fillId="27" borderId="10" xfId="45" applyFont="1" applyFill="1" applyBorder="1" applyAlignment="1">
      <alignment horizontal="center" wrapText="1"/>
    </xf>
  </cellXfs>
  <cellStyles count="287">
    <cellStyle name="20% - Accent1" xfId="1" builtinId="30" customBuiltin="1"/>
    <cellStyle name="20% - Accent1 2" xfId="48" xr:uid="{00000000-0005-0000-0000-000001000000}"/>
    <cellStyle name="20% - Accent1 3" xfId="152" xr:uid="{00000000-0005-0000-0000-000002000000}"/>
    <cellStyle name="20% - Accent2" xfId="2" builtinId="34" customBuiltin="1"/>
    <cellStyle name="20% - Accent2 2" xfId="49" xr:uid="{00000000-0005-0000-0000-000004000000}"/>
    <cellStyle name="20% - Accent2 3" xfId="153" xr:uid="{00000000-0005-0000-0000-000005000000}"/>
    <cellStyle name="20% - Accent3" xfId="3" builtinId="38" customBuiltin="1"/>
    <cellStyle name="20% - Accent3 2" xfId="50" xr:uid="{00000000-0005-0000-0000-000007000000}"/>
    <cellStyle name="20% - Accent3 3" xfId="154" xr:uid="{00000000-0005-0000-0000-000008000000}"/>
    <cellStyle name="20% - Accent4" xfId="4" builtinId="42" customBuiltin="1"/>
    <cellStyle name="20% - Accent4 2" xfId="51" xr:uid="{00000000-0005-0000-0000-00000A000000}"/>
    <cellStyle name="20% - Accent4 3" xfId="155" xr:uid="{00000000-0005-0000-0000-00000B000000}"/>
    <cellStyle name="20% - Accent5" xfId="5" builtinId="46" customBuiltin="1"/>
    <cellStyle name="20% - Accent5 2" xfId="52" xr:uid="{00000000-0005-0000-0000-00000D000000}"/>
    <cellStyle name="20% - Accent5 3" xfId="156" xr:uid="{00000000-0005-0000-0000-00000E000000}"/>
    <cellStyle name="20% - Accent6" xfId="6" builtinId="50" customBuiltin="1"/>
    <cellStyle name="20% - Accent6 2" xfId="53" xr:uid="{00000000-0005-0000-0000-000010000000}"/>
    <cellStyle name="20% - Accent6 3" xfId="157" xr:uid="{00000000-0005-0000-0000-000011000000}"/>
    <cellStyle name="40% - Accent1" xfId="7" builtinId="31" customBuiltin="1"/>
    <cellStyle name="40% - Accent1 2" xfId="54" xr:uid="{00000000-0005-0000-0000-000013000000}"/>
    <cellStyle name="40% - Accent1 3" xfId="158" xr:uid="{00000000-0005-0000-0000-000014000000}"/>
    <cellStyle name="40% - Accent2" xfId="8" builtinId="35" customBuiltin="1"/>
    <cellStyle name="40% - Accent2 2" xfId="55" xr:uid="{00000000-0005-0000-0000-000016000000}"/>
    <cellStyle name="40% - Accent2 3" xfId="159" xr:uid="{00000000-0005-0000-0000-000017000000}"/>
    <cellStyle name="40% - Accent3" xfId="9" builtinId="39" customBuiltin="1"/>
    <cellStyle name="40% - Accent3 2" xfId="56" xr:uid="{00000000-0005-0000-0000-000019000000}"/>
    <cellStyle name="40% - Accent3 3" xfId="160" xr:uid="{00000000-0005-0000-0000-00001A000000}"/>
    <cellStyle name="40% - Accent4" xfId="10" builtinId="43" customBuiltin="1"/>
    <cellStyle name="40% - Accent4 2" xfId="57" xr:uid="{00000000-0005-0000-0000-00001C000000}"/>
    <cellStyle name="40% - Accent4 3" xfId="161" xr:uid="{00000000-0005-0000-0000-00001D000000}"/>
    <cellStyle name="40% - Accent5" xfId="11" builtinId="47" customBuiltin="1"/>
    <cellStyle name="40% - Accent5 2" xfId="58" xr:uid="{00000000-0005-0000-0000-00001F000000}"/>
    <cellStyle name="40% - Accent5 3" xfId="162" xr:uid="{00000000-0005-0000-0000-000020000000}"/>
    <cellStyle name="40% - Accent6" xfId="12" builtinId="51" customBuiltin="1"/>
    <cellStyle name="40% - Accent6 2" xfId="59" xr:uid="{00000000-0005-0000-0000-000022000000}"/>
    <cellStyle name="40% - Accent6 3" xfId="163" xr:uid="{00000000-0005-0000-0000-000023000000}"/>
    <cellStyle name="60% - Accent1" xfId="13" builtinId="32" customBuiltin="1"/>
    <cellStyle name="60% - Accent1 2" xfId="60" xr:uid="{00000000-0005-0000-0000-000025000000}"/>
    <cellStyle name="60% - Accent1 3" xfId="164" xr:uid="{00000000-0005-0000-0000-000026000000}"/>
    <cellStyle name="60% - Accent2" xfId="14" builtinId="36" customBuiltin="1"/>
    <cellStyle name="60% - Accent2 2" xfId="61" xr:uid="{00000000-0005-0000-0000-000028000000}"/>
    <cellStyle name="60% - Accent2 3" xfId="165" xr:uid="{00000000-0005-0000-0000-000029000000}"/>
    <cellStyle name="60% - Accent3" xfId="15" builtinId="40" customBuiltin="1"/>
    <cellStyle name="60% - Accent3 2" xfId="62" xr:uid="{00000000-0005-0000-0000-00002B000000}"/>
    <cellStyle name="60% - Accent3 3" xfId="166" xr:uid="{00000000-0005-0000-0000-00002C000000}"/>
    <cellStyle name="60% - Accent4" xfId="16" builtinId="44" customBuiltin="1"/>
    <cellStyle name="60% - Accent4 2" xfId="63" xr:uid="{00000000-0005-0000-0000-00002E000000}"/>
    <cellStyle name="60% - Accent4 3" xfId="167" xr:uid="{00000000-0005-0000-0000-00002F000000}"/>
    <cellStyle name="60% - Accent5" xfId="17" builtinId="48" customBuiltin="1"/>
    <cellStyle name="60% - Accent5 2" xfId="64" xr:uid="{00000000-0005-0000-0000-000031000000}"/>
    <cellStyle name="60% - Accent5 3" xfId="168" xr:uid="{00000000-0005-0000-0000-000032000000}"/>
    <cellStyle name="60% - Accent6" xfId="18" builtinId="52" customBuiltin="1"/>
    <cellStyle name="60% - Accent6 2" xfId="65" xr:uid="{00000000-0005-0000-0000-000034000000}"/>
    <cellStyle name="60% - Accent6 3" xfId="169" xr:uid="{00000000-0005-0000-0000-000035000000}"/>
    <cellStyle name="Accent1" xfId="19" builtinId="29" customBuiltin="1"/>
    <cellStyle name="Accent1 2" xfId="66" xr:uid="{00000000-0005-0000-0000-000037000000}"/>
    <cellStyle name="Accent1 3" xfId="170" xr:uid="{00000000-0005-0000-0000-000038000000}"/>
    <cellStyle name="Accent2" xfId="20" builtinId="33" customBuiltin="1"/>
    <cellStyle name="Accent2 2" xfId="67" xr:uid="{00000000-0005-0000-0000-00003A000000}"/>
    <cellStyle name="Accent2 3" xfId="171" xr:uid="{00000000-0005-0000-0000-00003B000000}"/>
    <cellStyle name="Accent3" xfId="21" builtinId="37" customBuiltin="1"/>
    <cellStyle name="Accent3 2" xfId="68" xr:uid="{00000000-0005-0000-0000-00003D000000}"/>
    <cellStyle name="Accent3 3" xfId="172" xr:uid="{00000000-0005-0000-0000-00003E000000}"/>
    <cellStyle name="Accent4" xfId="22" builtinId="41" customBuiltin="1"/>
    <cellStyle name="Accent4 2" xfId="69" xr:uid="{00000000-0005-0000-0000-000040000000}"/>
    <cellStyle name="Accent4 3" xfId="173" xr:uid="{00000000-0005-0000-0000-000041000000}"/>
    <cellStyle name="Accent5" xfId="43" builtinId="45" customBuiltin="1"/>
    <cellStyle name="Accent5 2" xfId="70" xr:uid="{00000000-0005-0000-0000-000043000000}"/>
    <cellStyle name="Accent5 3" xfId="174" xr:uid="{00000000-0005-0000-0000-000044000000}"/>
    <cellStyle name="Accent6" xfId="44" builtinId="49" customBuiltin="1"/>
    <cellStyle name="Accent6 2" xfId="71" xr:uid="{00000000-0005-0000-0000-000046000000}"/>
    <cellStyle name="Accent6 3" xfId="175" xr:uid="{00000000-0005-0000-0000-000047000000}"/>
    <cellStyle name="Bad" xfId="23" builtinId="27" customBuiltin="1"/>
    <cellStyle name="Bad 2" xfId="72" xr:uid="{00000000-0005-0000-0000-000049000000}"/>
    <cellStyle name="Bad 3" xfId="176" xr:uid="{00000000-0005-0000-0000-00004A000000}"/>
    <cellStyle name="Calculation" xfId="24" builtinId="22" customBuiltin="1"/>
    <cellStyle name="Calculation 2" xfId="73" xr:uid="{00000000-0005-0000-0000-00004C000000}"/>
    <cellStyle name="Calculation 3" xfId="177" xr:uid="{00000000-0005-0000-0000-00004D000000}"/>
    <cellStyle name="Check Cell" xfId="25" builtinId="23" customBuiltin="1"/>
    <cellStyle name="Check Cell 2" xfId="74" xr:uid="{00000000-0005-0000-0000-00004F000000}"/>
    <cellStyle name="Check Cell 3" xfId="178" xr:uid="{00000000-0005-0000-0000-000050000000}"/>
    <cellStyle name="Comma 2" xfId="75" xr:uid="{00000000-0005-0000-0000-000051000000}"/>
    <cellStyle name="Comma 2 2" xfId="76" xr:uid="{00000000-0005-0000-0000-000052000000}"/>
    <cellStyle name="Comma 2 3" xfId="77" xr:uid="{00000000-0005-0000-0000-000053000000}"/>
    <cellStyle name="Comma 2 4" xfId="78" xr:uid="{00000000-0005-0000-0000-000054000000}"/>
    <cellStyle name="Comma 2 5" xfId="79" xr:uid="{00000000-0005-0000-0000-000055000000}"/>
    <cellStyle name="Comma 2 6" xfId="80" xr:uid="{00000000-0005-0000-0000-000056000000}"/>
    <cellStyle name="Comma 3" xfId="81" xr:uid="{00000000-0005-0000-0000-000057000000}"/>
    <cellStyle name="Comma 4" xfId="82" xr:uid="{00000000-0005-0000-0000-000058000000}"/>
    <cellStyle name="Currency 2" xfId="83" xr:uid="{00000000-0005-0000-0000-000059000000}"/>
    <cellStyle name="Explanatory Text" xfId="26" builtinId="53" customBuiltin="1"/>
    <cellStyle name="Explanatory Text 2" xfId="84" xr:uid="{00000000-0005-0000-0000-00005B000000}"/>
    <cellStyle name="Explanatory Text 3" xfId="179" xr:uid="{00000000-0005-0000-0000-00005C000000}"/>
    <cellStyle name="Good" xfId="40" builtinId="26" customBuiltin="1"/>
    <cellStyle name="Good 2" xfId="85" xr:uid="{00000000-0005-0000-0000-00005E000000}"/>
    <cellStyle name="Good 3" xfId="180" xr:uid="{00000000-0005-0000-0000-00005F000000}"/>
    <cellStyle name="Hea 2" xfId="86" xr:uid="{00000000-0005-0000-0000-000060000000}"/>
    <cellStyle name="Hea 3" xfId="193" xr:uid="{00000000-0005-0000-0000-000061000000}"/>
    <cellStyle name="Heading 1" xfId="27" builtinId="16" customBuiltin="1"/>
    <cellStyle name="Heading 1 2" xfId="87" xr:uid="{00000000-0005-0000-0000-000063000000}"/>
    <cellStyle name="Heading 1 3" xfId="181" xr:uid="{00000000-0005-0000-0000-000064000000}"/>
    <cellStyle name="Heading 2" xfId="28" builtinId="17" customBuiltin="1"/>
    <cellStyle name="Heading 2 2" xfId="88" xr:uid="{00000000-0005-0000-0000-000066000000}"/>
    <cellStyle name="Heading 2 3" xfId="182" xr:uid="{00000000-0005-0000-0000-000067000000}"/>
    <cellStyle name="Heading 3" xfId="29" builtinId="18" customBuiltin="1"/>
    <cellStyle name="Heading 3 2" xfId="89" xr:uid="{00000000-0005-0000-0000-000069000000}"/>
    <cellStyle name="Heading 3 3" xfId="183" xr:uid="{00000000-0005-0000-0000-00006A000000}"/>
    <cellStyle name="Heading 4" xfId="30" builtinId="19" customBuiltin="1"/>
    <cellStyle name="Heading 4 2" xfId="90" xr:uid="{00000000-0005-0000-0000-00006C000000}"/>
    <cellStyle name="Heading 4 3" xfId="184" xr:uid="{00000000-0005-0000-0000-00006D000000}"/>
    <cellStyle name="Hyperlink 2" xfId="41" xr:uid="{00000000-0005-0000-0000-00006E000000}"/>
    <cellStyle name="Hyperlink 2 2" xfId="91" xr:uid="{00000000-0005-0000-0000-00006F000000}"/>
    <cellStyle name="Input" xfId="31" builtinId="20" customBuiltin="1"/>
    <cellStyle name="Input 2" xfId="92" xr:uid="{00000000-0005-0000-0000-000072000000}"/>
    <cellStyle name="Input 3" xfId="185" xr:uid="{00000000-0005-0000-0000-000073000000}"/>
    <cellStyle name="Linked Cell" xfId="32" builtinId="24" customBuiltin="1"/>
    <cellStyle name="Linked Cell 2" xfId="93" xr:uid="{00000000-0005-0000-0000-000075000000}"/>
    <cellStyle name="Linked Cell 3" xfId="186" xr:uid="{00000000-0005-0000-0000-000076000000}"/>
    <cellStyle name="Neutral" xfId="33" builtinId="28" customBuiltin="1"/>
    <cellStyle name="Neutral 2" xfId="94" xr:uid="{00000000-0005-0000-0000-000078000000}"/>
    <cellStyle name="Neutral 3" xfId="187" xr:uid="{00000000-0005-0000-0000-000079000000}"/>
    <cellStyle name="Normaallaad 2" xfId="145" xr:uid="{00000000-0005-0000-0000-00007A000000}"/>
    <cellStyle name="Normaallaad 3" xfId="151" xr:uid="{00000000-0005-0000-0000-00007B000000}"/>
    <cellStyle name="Normal" xfId="0" builtinId="0"/>
    <cellStyle name="Normal 10" xfId="142" xr:uid="{00000000-0005-0000-0000-00007D000000}"/>
    <cellStyle name="Normal 10 2" xfId="224" xr:uid="{00000000-0005-0000-0000-00007E000000}"/>
    <cellStyle name="Normal 10 3" xfId="258" xr:uid="{00000000-0005-0000-0000-00007F000000}"/>
    <cellStyle name="Normal 11" xfId="143" xr:uid="{00000000-0005-0000-0000-000080000000}"/>
    <cellStyle name="Normal 11 2" xfId="225" xr:uid="{00000000-0005-0000-0000-000081000000}"/>
    <cellStyle name="Normal 11 3" xfId="259" xr:uid="{00000000-0005-0000-0000-000082000000}"/>
    <cellStyle name="Normal 12" xfId="146" xr:uid="{00000000-0005-0000-0000-000083000000}"/>
    <cellStyle name="Normal 13 2" xfId="144" xr:uid="{00000000-0005-0000-0000-000084000000}"/>
    <cellStyle name="Normal 14 2" xfId="228" xr:uid="{00000000-0005-0000-0000-000085000000}"/>
    <cellStyle name="Normal 14 2 2" xfId="263" xr:uid="{00000000-0005-0000-0000-000086000000}"/>
    <cellStyle name="Normal 14 2 3" xfId="266" xr:uid="{00000000-0005-0000-0000-000087000000}"/>
    <cellStyle name="Normal 14 2 3 2" xfId="269" xr:uid="{00000000-0005-0000-0000-000088000000}"/>
    <cellStyle name="Normal 14 2 3 2 2" xfId="286" xr:uid="{CD6687DD-D1B3-49B5-8532-CFA3AA475192}"/>
    <cellStyle name="Normal 14 2 3 3" xfId="271" xr:uid="{00000000-0005-0000-0000-000089000000}"/>
    <cellStyle name="Normal 14 2 3 3 3 2 4" xfId="273" xr:uid="{B4DA8B22-5F91-4F3A-BCD2-D2D5AC0348A0}"/>
    <cellStyle name="Normal 14 2 3 3 3 2 4 2" xfId="275" xr:uid="{CB7C7D7F-E56F-40D9-9105-8EEFA7AEA857}"/>
    <cellStyle name="Normal 14 2 3 3 3 2 4 3" xfId="277" xr:uid="{DB572A6F-389B-4472-A79A-1C3393FEB94F}"/>
    <cellStyle name="Normal 2" xfId="39" xr:uid="{00000000-0005-0000-0000-00008A000000}"/>
    <cellStyle name="Normal 2 2" xfId="45" xr:uid="{00000000-0005-0000-0000-00008B000000}"/>
    <cellStyle name="Normal 2 3" xfId="95" xr:uid="{00000000-0005-0000-0000-00008C000000}"/>
    <cellStyle name="Normal 2 3 2" xfId="96" xr:uid="{00000000-0005-0000-0000-00008D000000}"/>
    <cellStyle name="Normal 2 4" xfId="97" xr:uid="{00000000-0005-0000-0000-00008E000000}"/>
    <cellStyle name="Normal 2 4 2" xfId="98" xr:uid="{00000000-0005-0000-0000-00008F000000}"/>
    <cellStyle name="Normal 2 4 2 2" xfId="197" xr:uid="{00000000-0005-0000-0000-000090000000}"/>
    <cellStyle name="Normal 2 4 2 3" xfId="232" xr:uid="{00000000-0005-0000-0000-000091000000}"/>
    <cellStyle name="Normal 2 4 3" xfId="196" xr:uid="{00000000-0005-0000-0000-000092000000}"/>
    <cellStyle name="Normal 2 4 4" xfId="231" xr:uid="{00000000-0005-0000-0000-000093000000}"/>
    <cellStyle name="Normal 2 5" xfId="99" xr:uid="{00000000-0005-0000-0000-000094000000}"/>
    <cellStyle name="Normal 2 6" xfId="100" xr:uid="{00000000-0005-0000-0000-000095000000}"/>
    <cellStyle name="Normal 2 8" xfId="227" xr:uid="{00000000-0005-0000-0000-000096000000}"/>
    <cellStyle name="Normal 3" xfId="46" xr:uid="{00000000-0005-0000-0000-000097000000}"/>
    <cellStyle name="Normal 3 10" xfId="101" xr:uid="{00000000-0005-0000-0000-000098000000}"/>
    <cellStyle name="Normal 3 10 2" xfId="102" xr:uid="{00000000-0005-0000-0000-000099000000}"/>
    <cellStyle name="Normal 3 10 2 2" xfId="199" xr:uid="{00000000-0005-0000-0000-00009A000000}"/>
    <cellStyle name="Normal 3 10 2 3" xfId="234" xr:uid="{00000000-0005-0000-0000-00009B000000}"/>
    <cellStyle name="Normal 3 10 3" xfId="198" xr:uid="{00000000-0005-0000-0000-00009C000000}"/>
    <cellStyle name="Normal 3 10 4" xfId="233" xr:uid="{00000000-0005-0000-0000-00009D000000}"/>
    <cellStyle name="Normal 3 11" xfId="103" xr:uid="{00000000-0005-0000-0000-00009E000000}"/>
    <cellStyle name="Normal 3 11 2" xfId="104" xr:uid="{00000000-0005-0000-0000-00009F000000}"/>
    <cellStyle name="Normal 3 11 2 2" xfId="201" xr:uid="{00000000-0005-0000-0000-0000A0000000}"/>
    <cellStyle name="Normal 3 11 2 3" xfId="236" xr:uid="{00000000-0005-0000-0000-0000A1000000}"/>
    <cellStyle name="Normal 3 11 3" xfId="200" xr:uid="{00000000-0005-0000-0000-0000A2000000}"/>
    <cellStyle name="Normal 3 11 4" xfId="235" xr:uid="{00000000-0005-0000-0000-0000A3000000}"/>
    <cellStyle name="Normal 3 12" xfId="105" xr:uid="{00000000-0005-0000-0000-0000A4000000}"/>
    <cellStyle name="Normal 3 12 2" xfId="202" xr:uid="{00000000-0005-0000-0000-0000A5000000}"/>
    <cellStyle name="Normal 3 12 3" xfId="237" xr:uid="{00000000-0005-0000-0000-0000A6000000}"/>
    <cellStyle name="Normal 3 13" xfId="106" xr:uid="{00000000-0005-0000-0000-0000A7000000}"/>
    <cellStyle name="Normal 3 13 2" xfId="203" xr:uid="{00000000-0005-0000-0000-0000A8000000}"/>
    <cellStyle name="Normal 3 13 3" xfId="238" xr:uid="{00000000-0005-0000-0000-0000A9000000}"/>
    <cellStyle name="Normal 3 14" xfId="261" xr:uid="{00000000-0005-0000-0000-0000AA000000}"/>
    <cellStyle name="Normal 3 14 2" xfId="279" xr:uid="{BD2F9E41-82C1-40D7-8B15-028C13002877}"/>
    <cellStyle name="Normal 3 14 3" xfId="281" xr:uid="{DF26D917-2684-4C9E-82F5-1823E0C950EF}"/>
    <cellStyle name="Normal 3 14 4" xfId="282" xr:uid="{F2CD0070-7378-4037-9C57-BFCDCE9922C5}"/>
    <cellStyle name="Normal 3 14 5" xfId="283" xr:uid="{0DF0A97B-B961-4B88-9230-1ED8DDFB9D04}"/>
    <cellStyle name="Normal 3 14 6" xfId="284" xr:uid="{3CE3A636-A9B5-450C-B14A-E11BC04190E9}"/>
    <cellStyle name="Normal 3 14 7" xfId="285" xr:uid="{4BBFB28C-1BE1-4207-A2E5-AF5D4E36C596}"/>
    <cellStyle name="Normal 3 15" xfId="280" xr:uid="{69F790E4-A82E-486B-BA1D-398A3D6CC0D1}"/>
    <cellStyle name="Normal 3 2" xfId="107" xr:uid="{00000000-0005-0000-0000-0000AB000000}"/>
    <cellStyle name="Normal 3 2 2" xfId="108" xr:uid="{00000000-0005-0000-0000-0000AC000000}"/>
    <cellStyle name="Normal 3 2 3" xfId="109" xr:uid="{00000000-0005-0000-0000-0000AD000000}"/>
    <cellStyle name="Normal 3 2 3 2" xfId="205" xr:uid="{00000000-0005-0000-0000-0000AE000000}"/>
    <cellStyle name="Normal 3 2 3 3" xfId="240" xr:uid="{00000000-0005-0000-0000-0000AF000000}"/>
    <cellStyle name="Normal 3 2 4" xfId="204" xr:uid="{00000000-0005-0000-0000-0000B0000000}"/>
    <cellStyle name="Normal 3 2 5" xfId="239" xr:uid="{00000000-0005-0000-0000-0000B1000000}"/>
    <cellStyle name="Normal 3 3" xfId="110" xr:uid="{00000000-0005-0000-0000-0000B2000000}"/>
    <cellStyle name="Normal 3 3 2" xfId="111" xr:uid="{00000000-0005-0000-0000-0000B3000000}"/>
    <cellStyle name="Normal 3 3 2 2" xfId="207" xr:uid="{00000000-0005-0000-0000-0000B4000000}"/>
    <cellStyle name="Normal 3 3 2 3" xfId="242" xr:uid="{00000000-0005-0000-0000-0000B5000000}"/>
    <cellStyle name="Normal 3 3 3" xfId="206" xr:uid="{00000000-0005-0000-0000-0000B6000000}"/>
    <cellStyle name="Normal 3 3 4" xfId="241" xr:uid="{00000000-0005-0000-0000-0000B7000000}"/>
    <cellStyle name="Normal 3 4" xfId="112" xr:uid="{00000000-0005-0000-0000-0000B8000000}"/>
    <cellStyle name="Normal 3 4 2" xfId="113" xr:uid="{00000000-0005-0000-0000-0000B9000000}"/>
    <cellStyle name="Normal 3 4 2 2" xfId="209" xr:uid="{00000000-0005-0000-0000-0000BA000000}"/>
    <cellStyle name="Normal 3 4 2 3" xfId="244" xr:uid="{00000000-0005-0000-0000-0000BB000000}"/>
    <cellStyle name="Normal 3 4 3" xfId="208" xr:uid="{00000000-0005-0000-0000-0000BC000000}"/>
    <cellStyle name="Normal 3 4 4" xfId="243" xr:uid="{00000000-0005-0000-0000-0000BD000000}"/>
    <cellStyle name="Normal 3 5" xfId="114" xr:uid="{00000000-0005-0000-0000-0000BE000000}"/>
    <cellStyle name="Normal 3 5 2" xfId="115" xr:uid="{00000000-0005-0000-0000-0000BF000000}"/>
    <cellStyle name="Normal 3 5 2 2" xfId="211" xr:uid="{00000000-0005-0000-0000-0000C0000000}"/>
    <cellStyle name="Normal 3 5 2 3" xfId="246" xr:uid="{00000000-0005-0000-0000-0000C1000000}"/>
    <cellStyle name="Normal 3 5 3" xfId="210" xr:uid="{00000000-0005-0000-0000-0000C2000000}"/>
    <cellStyle name="Normal 3 5 4" xfId="245" xr:uid="{00000000-0005-0000-0000-0000C3000000}"/>
    <cellStyle name="Normal 3 6" xfId="116" xr:uid="{00000000-0005-0000-0000-0000C4000000}"/>
    <cellStyle name="Normal 3 7" xfId="117" xr:uid="{00000000-0005-0000-0000-0000C5000000}"/>
    <cellStyle name="Normal 3 8" xfId="118" xr:uid="{00000000-0005-0000-0000-0000C6000000}"/>
    <cellStyle name="Normal 3 8 2" xfId="119" xr:uid="{00000000-0005-0000-0000-0000C7000000}"/>
    <cellStyle name="Normal 3 8 2 2" xfId="213" xr:uid="{00000000-0005-0000-0000-0000C8000000}"/>
    <cellStyle name="Normal 3 8 2 3" xfId="248" xr:uid="{00000000-0005-0000-0000-0000C9000000}"/>
    <cellStyle name="Normal 3 8 3" xfId="212" xr:uid="{00000000-0005-0000-0000-0000CA000000}"/>
    <cellStyle name="Normal 3 8 4" xfId="247" xr:uid="{00000000-0005-0000-0000-0000CB000000}"/>
    <cellStyle name="Normal 3 9" xfId="120" xr:uid="{00000000-0005-0000-0000-0000CC000000}"/>
    <cellStyle name="Normal 3 9 2" xfId="121" xr:uid="{00000000-0005-0000-0000-0000CD000000}"/>
    <cellStyle name="Normal 3 9 2 2" xfId="215" xr:uid="{00000000-0005-0000-0000-0000CE000000}"/>
    <cellStyle name="Normal 3 9 2 3" xfId="250" xr:uid="{00000000-0005-0000-0000-0000CF000000}"/>
    <cellStyle name="Normal 3 9 3" xfId="214" xr:uid="{00000000-0005-0000-0000-0000D0000000}"/>
    <cellStyle name="Normal 3 9 4" xfId="249" xr:uid="{00000000-0005-0000-0000-0000D1000000}"/>
    <cellStyle name="Normal 4" xfId="122" xr:uid="{00000000-0005-0000-0000-0000D2000000}"/>
    <cellStyle name="Normal 4 2" xfId="123" xr:uid="{00000000-0005-0000-0000-0000D3000000}"/>
    <cellStyle name="Normal 4 3" xfId="216" xr:uid="{00000000-0005-0000-0000-0000D4000000}"/>
    <cellStyle name="Normal 4 4" xfId="251" xr:uid="{00000000-0005-0000-0000-0000D5000000}"/>
    <cellStyle name="Normal 5" xfId="124" xr:uid="{00000000-0005-0000-0000-0000D6000000}"/>
    <cellStyle name="Normal 5 2" xfId="125" xr:uid="{00000000-0005-0000-0000-0000D7000000}"/>
    <cellStyle name="Normal 5 2 2" xfId="126" xr:uid="{00000000-0005-0000-0000-0000D8000000}"/>
    <cellStyle name="Normal 5 2 2 2" xfId="219" xr:uid="{00000000-0005-0000-0000-0000D9000000}"/>
    <cellStyle name="Normal 5 2 2 3" xfId="254" xr:uid="{00000000-0005-0000-0000-0000DA000000}"/>
    <cellStyle name="Normal 5 2 3" xfId="218" xr:uid="{00000000-0005-0000-0000-0000DB000000}"/>
    <cellStyle name="Normal 5 2 4" xfId="253" xr:uid="{00000000-0005-0000-0000-0000DC000000}"/>
    <cellStyle name="Normal 5 3" xfId="127" xr:uid="{00000000-0005-0000-0000-0000DD000000}"/>
    <cellStyle name="Normal 5 3 2" xfId="220" xr:uid="{00000000-0005-0000-0000-0000DE000000}"/>
    <cellStyle name="Normal 5 3 3" xfId="255" xr:uid="{00000000-0005-0000-0000-0000DF000000}"/>
    <cellStyle name="Normal 5 4" xfId="217" xr:uid="{00000000-0005-0000-0000-0000E0000000}"/>
    <cellStyle name="Normal 5 5" xfId="252" xr:uid="{00000000-0005-0000-0000-0000E1000000}"/>
    <cellStyle name="Normal 6" xfId="128" xr:uid="{00000000-0005-0000-0000-0000E2000000}"/>
    <cellStyle name="Normal 7" xfId="129" xr:uid="{00000000-0005-0000-0000-0000E3000000}"/>
    <cellStyle name="Normal 7 2" xfId="130" xr:uid="{00000000-0005-0000-0000-0000E4000000}"/>
    <cellStyle name="Normal 7 2 2" xfId="222" xr:uid="{00000000-0005-0000-0000-0000E5000000}"/>
    <cellStyle name="Normal 7 2 3" xfId="257" xr:uid="{00000000-0005-0000-0000-0000E6000000}"/>
    <cellStyle name="Normal 7 3" xfId="221" xr:uid="{00000000-0005-0000-0000-0000E7000000}"/>
    <cellStyle name="Normal 7 4" xfId="256" xr:uid="{00000000-0005-0000-0000-0000E8000000}"/>
    <cellStyle name="Normal 8" xfId="131" xr:uid="{00000000-0005-0000-0000-0000E9000000}"/>
    <cellStyle name="Normal 8 10" xfId="272" xr:uid="{00000000-0005-0000-0000-0000EA000000}"/>
    <cellStyle name="Normal 8 2" xfId="223" xr:uid="{00000000-0005-0000-0000-0000EB000000}"/>
    <cellStyle name="Normal 8 6" xfId="147" xr:uid="{00000000-0005-0000-0000-0000EC000000}"/>
    <cellStyle name="Normal 8 6 2" xfId="149" xr:uid="{00000000-0005-0000-0000-0000ED000000}"/>
    <cellStyle name="Normal 8 6 2 2 2" xfId="230" xr:uid="{00000000-0005-0000-0000-0000EE000000}"/>
    <cellStyle name="Normal 8 6 2 2 2 2" xfId="264" xr:uid="{00000000-0005-0000-0000-0000EF000000}"/>
    <cellStyle name="Normal 8 6 2 2 2 3" xfId="267" xr:uid="{00000000-0005-0000-0000-0000F0000000}"/>
    <cellStyle name="Normal 8 6 2 2 4" xfId="150" xr:uid="{00000000-0005-0000-0000-0000F1000000}"/>
    <cellStyle name="Normal 8 6 3" xfId="229" xr:uid="{00000000-0005-0000-0000-0000F2000000}"/>
    <cellStyle name="Normal 8 6 3 2" xfId="262" xr:uid="{00000000-0005-0000-0000-0000F3000000}"/>
    <cellStyle name="Normal 8 6 3 3" xfId="265" xr:uid="{00000000-0005-0000-0000-0000F4000000}"/>
    <cellStyle name="Normal 8 6 3 3 2" xfId="268" xr:uid="{00000000-0005-0000-0000-0000F5000000}"/>
    <cellStyle name="Normal 8 6 3 3 3" xfId="270" xr:uid="{00000000-0005-0000-0000-0000F6000000}"/>
    <cellStyle name="Normal 8 6 3 3 3 3 2 4" xfId="274" xr:uid="{27730DE0-B9A9-4246-BF35-683E1961CC58}"/>
    <cellStyle name="Normal 8 6 3 3 3 3 2 4 2" xfId="276" xr:uid="{9B0A9375-0F4A-41E9-83A7-BEA739DA46CC}"/>
    <cellStyle name="Normal 8 6 3 3 3 3 2 4 3" xfId="278" xr:uid="{82720804-8906-4B38-AFA0-648A0EFE5553}"/>
    <cellStyle name="Normal 8 6 4" xfId="260" xr:uid="{00000000-0005-0000-0000-0000F7000000}"/>
    <cellStyle name="Normal 8 7" xfId="148" xr:uid="{00000000-0005-0000-0000-0000F8000000}"/>
    <cellStyle name="Normal 9" xfId="132" xr:uid="{00000000-0005-0000-0000-0000F9000000}"/>
    <cellStyle name="Note" xfId="34" builtinId="10" customBuiltin="1"/>
    <cellStyle name="Note 2" xfId="133" xr:uid="{00000000-0005-0000-0000-000000010000}"/>
    <cellStyle name="Note 3" xfId="141" xr:uid="{00000000-0005-0000-0000-000001010000}"/>
    <cellStyle name="Note 4" xfId="47" xr:uid="{00000000-0005-0000-0000-000002010000}"/>
    <cellStyle name="Note 5" xfId="188" xr:uid="{00000000-0005-0000-0000-000003010000}"/>
    <cellStyle name="Output" xfId="35" builtinId="21" customBuiltin="1"/>
    <cellStyle name="Output 2" xfId="134" xr:uid="{00000000-0005-0000-0000-000005010000}"/>
    <cellStyle name="Output 3" xfId="189" xr:uid="{00000000-0005-0000-0000-000006010000}"/>
    <cellStyle name="Percent 2" xfId="42" xr:uid="{00000000-0005-0000-0000-000007010000}"/>
    <cellStyle name="Percent 3" xfId="135" xr:uid="{00000000-0005-0000-0000-000008010000}"/>
    <cellStyle name="Percent 4" xfId="226" xr:uid="{00000000-0005-0000-0000-000009010000}"/>
    <cellStyle name="Rõhk5 2" xfId="136" xr:uid="{00000000-0005-0000-0000-00000A010000}"/>
    <cellStyle name="Rõhk5 3" xfId="194" xr:uid="{00000000-0005-0000-0000-00000B010000}"/>
    <cellStyle name="Rõhk6 2" xfId="137" xr:uid="{00000000-0005-0000-0000-00000C010000}"/>
    <cellStyle name="Rõhk6 3" xfId="195" xr:uid="{00000000-0005-0000-0000-00000D010000}"/>
    <cellStyle name="Title" xfId="36" builtinId="15" customBuiltin="1"/>
    <cellStyle name="Title 2" xfId="138" xr:uid="{00000000-0005-0000-0000-00000F010000}"/>
    <cellStyle name="Title 3" xfId="190" xr:uid="{00000000-0005-0000-0000-000010010000}"/>
    <cellStyle name="Total" xfId="37" builtinId="25" customBuiltin="1"/>
    <cellStyle name="Total 2" xfId="139" xr:uid="{00000000-0005-0000-0000-000012010000}"/>
    <cellStyle name="Total 3" xfId="191" xr:uid="{00000000-0005-0000-0000-000013010000}"/>
    <cellStyle name="Warning Text" xfId="38" builtinId="11" customBuiltin="1"/>
    <cellStyle name="Warning Text 2" xfId="140" xr:uid="{00000000-0005-0000-0000-000015010000}"/>
    <cellStyle name="Warning Text 3" xfId="192" xr:uid="{00000000-0005-0000-0000-00001601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teenistus/EELARVE%20OSAKOND/2011/2011%20EELARVE%20T&#196;ITMINE%20-%20VALGE%20RAAMAT/Koond%2026.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llinnlv.ee\data\Users\hirve\Documents\Ametikohtade%20hindamine\Copy%20of%20Koopia%20failist%20Tallinna%20Linnakantselei%20at%20palgatabel_2014_1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KOONDEELARVE"/>
      <sheetName val="2 KOONDEA TÄITMINE"/>
      <sheetName val="3 TULUDE KOOND"/>
      <sheetName val="4 LK TULUD"/>
      <sheetName val="5 RR - OTSTARVE"/>
      <sheetName val="6 TOETUSED"/>
      <sheetName val="Sheet1"/>
      <sheetName val="7 OMATULUD"/>
      <sheetName val="8 KULUD"/>
      <sheetName val="9 INVEST"/>
      <sheetName val="10 FIN.TEH"/>
      <sheetName val="11 EESMÄRGID"/>
      <sheetName val="Probleemid"/>
      <sheetName val="Taotlused"/>
      <sheetName val="1_KOONDEELARVE"/>
      <sheetName val="2_KOONDEA_TÄITMINE"/>
      <sheetName val="3_TULUDE_KOOND"/>
      <sheetName val="4_LK_TULUD"/>
      <sheetName val="5_RR_-_OTSTARVE"/>
      <sheetName val="6_TOETUSED"/>
      <sheetName val="7_OMATULUD"/>
      <sheetName val="8_KULUD"/>
      <sheetName val="9_INVEST"/>
      <sheetName val="10_FIN_TEH"/>
      <sheetName val="11_EESMÄRGID"/>
      <sheetName val="1_KOONDEELARVE4"/>
      <sheetName val="2_KOONDEA_TÄITMINE4"/>
      <sheetName val="3_TULUDE_KOOND4"/>
      <sheetName val="4_LK_TULUD4"/>
      <sheetName val="5_RR_-_OTSTARVE4"/>
      <sheetName val="6_TOETUSED4"/>
      <sheetName val="7_OMATULUD4"/>
      <sheetName val="8_KULUD4"/>
      <sheetName val="9_INVEST4"/>
      <sheetName val="10_FIN_TEH4"/>
      <sheetName val="11_EESMÄRGID4"/>
      <sheetName val="1_KOONDEELARVE2"/>
      <sheetName val="2_KOONDEA_TÄITMINE2"/>
      <sheetName val="3_TULUDE_KOOND2"/>
      <sheetName val="4_LK_TULUD2"/>
      <sheetName val="5_RR_-_OTSTARVE2"/>
      <sheetName val="6_TOETUSED2"/>
      <sheetName val="7_OMATULUD2"/>
      <sheetName val="8_KULUD2"/>
      <sheetName val="9_INVEST2"/>
      <sheetName val="10_FIN_TEH2"/>
      <sheetName val="11_EESMÄRGID2"/>
      <sheetName val="1_KOONDEELARVE1"/>
      <sheetName val="2_KOONDEA_TÄITMINE1"/>
      <sheetName val="3_TULUDE_KOOND1"/>
      <sheetName val="4_LK_TULUD1"/>
      <sheetName val="5_RR_-_OTSTARVE1"/>
      <sheetName val="6_TOETUSED1"/>
      <sheetName val="7_OMATULUD1"/>
      <sheetName val="8_KULUD1"/>
      <sheetName val="9_INVEST1"/>
      <sheetName val="10_FIN_TEH1"/>
      <sheetName val="11_EESMÄRGID1"/>
      <sheetName val="1_KOONDEELARVE3"/>
      <sheetName val="2_KOONDEA_TÄITMINE3"/>
      <sheetName val="3_TULUDE_KOOND3"/>
      <sheetName val="4_LK_TULUD3"/>
      <sheetName val="5_RR_-_OTSTARVE3"/>
      <sheetName val="6_TOETUSED3"/>
      <sheetName val="7_OMATULUD3"/>
      <sheetName val="8_KULUD3"/>
      <sheetName val="9_INVEST3"/>
      <sheetName val="10_FIN_TEH3"/>
      <sheetName val="11_EESMÄRGID3"/>
      <sheetName val="1_KOONDEELARVE5"/>
      <sheetName val="2_KOONDEA_TÄITMINE5"/>
      <sheetName val="3_TULUDE_KOOND5"/>
      <sheetName val="4_LK_TULUD5"/>
      <sheetName val="5_RR_-_OTSTARVE5"/>
      <sheetName val="6_TOETUSED5"/>
      <sheetName val="7_OMATULUD5"/>
      <sheetName val="8_KULUD5"/>
      <sheetName val="9_INVEST5"/>
      <sheetName val="10_FIN_TEH5"/>
      <sheetName val="11_EESMÄRGID5"/>
      <sheetName val="1_KOONDEELARVE6"/>
      <sheetName val="2_KOONDEA_TÄITMINE6"/>
      <sheetName val="3_TULUDE_KOOND6"/>
      <sheetName val="4_LK_TULUD6"/>
      <sheetName val="5_RR_-_OTSTARVE6"/>
      <sheetName val="6_TOETUSED6"/>
      <sheetName val="7_OMATULUD6"/>
      <sheetName val="8_KULUD6"/>
      <sheetName val="9_INVEST6"/>
      <sheetName val="10_FIN_TEH6"/>
      <sheetName val="11_EESMÄRGID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Andmed"/>
      <sheetName val="põhipalk"/>
      <sheetName val="tulemustasu2"/>
      <sheetName val="tulemustasu"/>
      <sheetName val="öötöö, riigipühad"/>
      <sheetName val="muutuvad tasud"/>
      <sheetName val="mobiiltelefon"/>
      <sheetName val="Sheet1"/>
      <sheetName val="Maakonnad"/>
      <sheetName val="Job Families"/>
      <sheetName val="Job Names"/>
      <sheetName val="Sheet2"/>
      <sheetName val="Ametiasutused põhitasud 2015"/>
      <sheetName val="8 KULUD"/>
      <sheetName val="öötöö,_riigipühad"/>
      <sheetName val="muutuvad_tasud"/>
      <sheetName val="Job_Families"/>
      <sheetName val="Job_Names"/>
      <sheetName val="Ametiasutused_põhitasud_2015"/>
      <sheetName val="8_KULUD"/>
      <sheetName val="öötöö,_riigipühad1"/>
      <sheetName val="muutuvad_tasud1"/>
      <sheetName val="Job_Families1"/>
      <sheetName val="Job_Names1"/>
      <sheetName val="Ametiasutused_põhitasud_20151"/>
      <sheetName val="8_KULUD1"/>
      <sheetName val="öötöö,_riigipühad2"/>
      <sheetName val="muutuvad_tasud2"/>
      <sheetName val="Job_Families2"/>
      <sheetName val="Job_Names2"/>
      <sheetName val="Ametiasutused_põhitasud_20152"/>
      <sheetName val="8_KULUD2"/>
      <sheetName val="öötöö,_riigipühad5"/>
      <sheetName val="muutuvad_tasud5"/>
      <sheetName val="Job_Families5"/>
      <sheetName val="Job_Names5"/>
      <sheetName val="Ametiasutused_põhitasud_20155"/>
      <sheetName val="8_KULUD5"/>
      <sheetName val="öötöö,_riigipühad3"/>
      <sheetName val="muutuvad_tasud3"/>
      <sheetName val="Job_Families3"/>
      <sheetName val="Job_Names3"/>
      <sheetName val="Ametiasutused_põhitasud_20153"/>
      <sheetName val="8_KULUD3"/>
      <sheetName val="öötöö,_riigipühad4"/>
      <sheetName val="muutuvad_tasud4"/>
      <sheetName val="Job_Families4"/>
      <sheetName val="Job_Names4"/>
      <sheetName val="Ametiasutused_põhitasud_20154"/>
      <sheetName val="8_KULUD4"/>
      <sheetName val="öötöö,_riigipühad6"/>
      <sheetName val="muutuvad_tasud6"/>
      <sheetName val="Job_Families6"/>
      <sheetName val="Job_Names6"/>
      <sheetName val="Ametiasutused_põhitasud_20156"/>
      <sheetName val="8_KULUD6"/>
      <sheetName val="öötöö,_riigipühad7"/>
      <sheetName val="muutuvad_tasud7"/>
      <sheetName val="Job_Families7"/>
      <sheetName val="Job_Names7"/>
      <sheetName val="Ametiasutused_põhitasud_20157"/>
      <sheetName val="8_KULUD7"/>
    </sheetNames>
    <sheetDataSet>
      <sheetData sheetId="0"/>
      <sheetData sheetId="1"/>
      <sheetData sheetId="2"/>
      <sheetData sheetId="3"/>
      <sheetData sheetId="4"/>
      <sheetData sheetId="5"/>
      <sheetData sheetId="6"/>
      <sheetData sheetId="7"/>
      <sheetData sheetId="8"/>
      <sheetData sheetId="9">
        <row r="1">
          <cell r="A1" t="str">
            <v>Harjumaa</v>
          </cell>
        </row>
        <row r="2">
          <cell r="A2" t="str">
            <v>Hiiumaa</v>
          </cell>
        </row>
        <row r="3">
          <cell r="A3" t="str">
            <v>Ida-Virumaa</v>
          </cell>
        </row>
        <row r="4">
          <cell r="A4" t="str">
            <v>Jõgevamaa</v>
          </cell>
        </row>
        <row r="5">
          <cell r="A5" t="str">
            <v>Järvamaa</v>
          </cell>
        </row>
        <row r="6">
          <cell r="A6" t="str">
            <v>Läänemaa</v>
          </cell>
        </row>
        <row r="7">
          <cell r="A7" t="str">
            <v>Lääne-Virumaa</v>
          </cell>
        </row>
        <row r="8">
          <cell r="A8" t="str">
            <v>Põlvamaa</v>
          </cell>
        </row>
        <row r="9">
          <cell r="A9" t="str">
            <v>Pärnumaa</v>
          </cell>
        </row>
        <row r="10">
          <cell r="A10" t="str">
            <v>Raplamaa</v>
          </cell>
        </row>
        <row r="11">
          <cell r="A11" t="str">
            <v>Saaremaa</v>
          </cell>
        </row>
        <row r="12">
          <cell r="A12" t="str">
            <v>Tartumaa</v>
          </cell>
        </row>
        <row r="13">
          <cell r="A13" t="str">
            <v>Valgamaa</v>
          </cell>
        </row>
        <row r="14">
          <cell r="A14" t="str">
            <v>Viljandimaa</v>
          </cell>
        </row>
        <row r="15">
          <cell r="A15" t="str">
            <v>Võrumaa</v>
          </cell>
        </row>
      </sheetData>
      <sheetData sheetId="10">
        <row r="2">
          <cell r="D2" t="str">
            <v>Actual Job Family</v>
          </cell>
          <cell r="E2" t="str">
            <v>Level</v>
          </cell>
          <cell r="F2" t="str">
            <v>Points</v>
          </cell>
          <cell r="G2" t="str">
            <v>min</v>
          </cell>
          <cell r="H2" t="str">
            <v>max</v>
          </cell>
        </row>
        <row r="3">
          <cell r="D3" t="str">
            <v>AT - (Sise)auditeerimine</v>
          </cell>
          <cell r="E3">
            <v>1</v>
          </cell>
          <cell r="F3">
            <v>184</v>
          </cell>
          <cell r="G3">
            <v>172</v>
          </cell>
          <cell r="H3">
            <v>197</v>
          </cell>
        </row>
        <row r="4">
          <cell r="D4" t="str">
            <v>AT - (Sise)auditeerimine</v>
          </cell>
          <cell r="E4">
            <v>2</v>
          </cell>
          <cell r="F4">
            <v>281</v>
          </cell>
          <cell r="G4">
            <v>262</v>
          </cell>
          <cell r="H4">
            <v>300</v>
          </cell>
        </row>
        <row r="5">
          <cell r="D5" t="str">
            <v>AT - (Sise)auditeerimine</v>
          </cell>
          <cell r="E5" t="str">
            <v>3A</v>
          </cell>
          <cell r="F5">
            <v>371</v>
          </cell>
          <cell r="G5">
            <v>346</v>
          </cell>
          <cell r="H5">
            <v>397</v>
          </cell>
        </row>
        <row r="6">
          <cell r="D6" t="str">
            <v>AT - (Sise)auditeerimine</v>
          </cell>
          <cell r="E6" t="str">
            <v>3B</v>
          </cell>
          <cell r="F6">
            <v>371</v>
          </cell>
          <cell r="G6">
            <v>346</v>
          </cell>
          <cell r="H6">
            <v>397</v>
          </cell>
        </row>
        <row r="7">
          <cell r="D7" t="str">
            <v>AT - (Sise)auditeerimine</v>
          </cell>
          <cell r="E7">
            <v>4</v>
          </cell>
          <cell r="F7">
            <v>492</v>
          </cell>
          <cell r="G7">
            <v>458</v>
          </cell>
          <cell r="H7">
            <v>526</v>
          </cell>
        </row>
        <row r="8">
          <cell r="D8" t="str">
            <v>AT - Andmeait</v>
          </cell>
          <cell r="E8">
            <v>1</v>
          </cell>
          <cell r="F8">
            <v>160</v>
          </cell>
          <cell r="G8">
            <v>150</v>
          </cell>
          <cell r="H8">
            <v>149</v>
          </cell>
        </row>
        <row r="9">
          <cell r="D9" t="str">
            <v>AT - Andmeait</v>
          </cell>
          <cell r="E9">
            <v>2</v>
          </cell>
          <cell r="F9">
            <v>244</v>
          </cell>
          <cell r="G9">
            <v>228</v>
          </cell>
          <cell r="H9">
            <v>261</v>
          </cell>
        </row>
        <row r="10">
          <cell r="D10" t="str">
            <v>AT - Andmeait</v>
          </cell>
          <cell r="E10">
            <v>3</v>
          </cell>
          <cell r="F10">
            <v>323</v>
          </cell>
          <cell r="G10">
            <v>301</v>
          </cell>
          <cell r="H10">
            <v>345</v>
          </cell>
        </row>
        <row r="11">
          <cell r="D11" t="str">
            <v>AT - Andmeait</v>
          </cell>
          <cell r="E11">
            <v>4</v>
          </cell>
          <cell r="F11">
            <v>427</v>
          </cell>
          <cell r="G11">
            <v>398</v>
          </cell>
          <cell r="H11">
            <v>457</v>
          </cell>
        </row>
        <row r="12">
          <cell r="D12" t="str">
            <v>AT - Andmeanalüüs ja -seire</v>
          </cell>
          <cell r="E12">
            <v>1</v>
          </cell>
          <cell r="F12">
            <v>121</v>
          </cell>
          <cell r="G12">
            <v>113</v>
          </cell>
          <cell r="H12">
            <v>129</v>
          </cell>
        </row>
        <row r="13">
          <cell r="D13" t="str">
            <v>AT - Andmeanalüüs ja -seire</v>
          </cell>
          <cell r="E13">
            <v>2</v>
          </cell>
          <cell r="F13">
            <v>212</v>
          </cell>
          <cell r="G13">
            <v>198</v>
          </cell>
          <cell r="H13">
            <v>227</v>
          </cell>
        </row>
        <row r="14">
          <cell r="D14" t="str">
            <v>AT - Andmeanalüüs ja -seire</v>
          </cell>
          <cell r="E14">
            <v>3</v>
          </cell>
          <cell r="F14">
            <v>281</v>
          </cell>
          <cell r="G14">
            <v>262</v>
          </cell>
          <cell r="H14">
            <v>300</v>
          </cell>
        </row>
        <row r="15">
          <cell r="D15" t="str">
            <v>AT - Andmeanalüüs ja -seire</v>
          </cell>
          <cell r="E15" t="str">
            <v>4A</v>
          </cell>
          <cell r="F15">
            <v>323</v>
          </cell>
          <cell r="G15">
            <v>301</v>
          </cell>
          <cell r="H15">
            <v>345</v>
          </cell>
        </row>
        <row r="16">
          <cell r="D16" t="str">
            <v>AT - Andmeanalüüs ja -seire</v>
          </cell>
          <cell r="E16" t="str">
            <v>4B</v>
          </cell>
          <cell r="F16">
            <v>427</v>
          </cell>
          <cell r="G16">
            <v>398</v>
          </cell>
          <cell r="H16">
            <v>457</v>
          </cell>
        </row>
        <row r="17">
          <cell r="D17" t="str">
            <v>AT - Andmeanalüüs ja -seire</v>
          </cell>
          <cell r="E17" t="str">
            <v>5A</v>
          </cell>
          <cell r="F17">
            <v>427</v>
          </cell>
          <cell r="G17">
            <v>398</v>
          </cell>
          <cell r="H17">
            <v>457</v>
          </cell>
        </row>
        <row r="18">
          <cell r="D18" t="str">
            <v>AT - Andmeanalüüs ja -seire</v>
          </cell>
          <cell r="E18" t="str">
            <v>5B</v>
          </cell>
          <cell r="F18">
            <v>492</v>
          </cell>
          <cell r="G18">
            <v>458</v>
          </cell>
          <cell r="H18">
            <v>526</v>
          </cell>
        </row>
        <row r="19">
          <cell r="D19" t="str">
            <v>AT - Arengu ja poliitika kujundamine</v>
          </cell>
          <cell r="E19">
            <v>1</v>
          </cell>
          <cell r="F19">
            <v>184</v>
          </cell>
          <cell r="G19">
            <v>172</v>
          </cell>
          <cell r="H19">
            <v>197</v>
          </cell>
        </row>
        <row r="20">
          <cell r="D20" t="str">
            <v>AT - Arengu ja poliitika kujundamine</v>
          </cell>
          <cell r="E20">
            <v>2</v>
          </cell>
          <cell r="F20">
            <v>244</v>
          </cell>
          <cell r="G20">
            <v>228</v>
          </cell>
          <cell r="H20">
            <v>261</v>
          </cell>
        </row>
        <row r="21">
          <cell r="D21" t="str">
            <v>AT - Arengu ja poliitika kujundamine</v>
          </cell>
          <cell r="E21">
            <v>3</v>
          </cell>
          <cell r="F21">
            <v>323</v>
          </cell>
          <cell r="G21">
            <v>301</v>
          </cell>
          <cell r="H21">
            <v>345</v>
          </cell>
        </row>
        <row r="22">
          <cell r="D22" t="str">
            <v>AT - Arengu ja poliitika kujundamine</v>
          </cell>
          <cell r="E22">
            <v>4</v>
          </cell>
          <cell r="F22">
            <v>427</v>
          </cell>
          <cell r="G22">
            <v>398</v>
          </cell>
          <cell r="H22">
            <v>457</v>
          </cell>
        </row>
        <row r="23">
          <cell r="D23" t="str">
            <v>AT - Arengu ja poliitika kujundamine</v>
          </cell>
          <cell r="E23">
            <v>5</v>
          </cell>
          <cell r="F23">
            <v>492</v>
          </cell>
          <cell r="G23">
            <v>458</v>
          </cell>
          <cell r="H23">
            <v>526</v>
          </cell>
        </row>
        <row r="24">
          <cell r="D24" t="str">
            <v>AT - Arengu ja poliitika kujundamine</v>
          </cell>
          <cell r="E24">
            <v>6</v>
          </cell>
          <cell r="F24">
            <v>651</v>
          </cell>
          <cell r="G24">
            <v>606</v>
          </cell>
          <cell r="H24">
            <v>696</v>
          </cell>
        </row>
        <row r="25">
          <cell r="D25" t="str">
            <v>AT - Arhiivindus</v>
          </cell>
          <cell r="E25" t="str">
            <v>1B</v>
          </cell>
          <cell r="F25">
            <v>139</v>
          </cell>
          <cell r="G25">
            <v>130</v>
          </cell>
          <cell r="H25">
            <v>149</v>
          </cell>
        </row>
        <row r="26">
          <cell r="D26" t="str">
            <v>AT - Arhiivindus</v>
          </cell>
          <cell r="E26" t="str">
            <v>1A</v>
          </cell>
          <cell r="F26">
            <v>160</v>
          </cell>
          <cell r="G26">
            <v>150</v>
          </cell>
          <cell r="H26">
            <v>171</v>
          </cell>
        </row>
        <row r="27">
          <cell r="D27" t="str">
            <v>AT - Arhiivindus</v>
          </cell>
          <cell r="E27" t="str">
            <v>2B</v>
          </cell>
          <cell r="F27">
            <v>184</v>
          </cell>
          <cell r="G27">
            <v>172</v>
          </cell>
          <cell r="H27">
            <v>197</v>
          </cell>
        </row>
        <row r="28">
          <cell r="D28" t="str">
            <v>AT - Arhiivindus</v>
          </cell>
          <cell r="E28" t="str">
            <v>2A</v>
          </cell>
          <cell r="F28">
            <v>212</v>
          </cell>
          <cell r="G28">
            <v>198</v>
          </cell>
          <cell r="H28">
            <v>227</v>
          </cell>
        </row>
        <row r="29">
          <cell r="D29" t="str">
            <v>AT - Arhiivindus</v>
          </cell>
          <cell r="E29" t="str">
            <v>3A</v>
          </cell>
          <cell r="F29">
            <v>281</v>
          </cell>
          <cell r="G29">
            <v>262</v>
          </cell>
          <cell r="H29">
            <v>300</v>
          </cell>
        </row>
        <row r="30">
          <cell r="D30" t="str">
            <v>AT - Arhiivindus</v>
          </cell>
          <cell r="E30" t="str">
            <v>3B</v>
          </cell>
          <cell r="F30">
            <v>281</v>
          </cell>
          <cell r="G30">
            <v>262</v>
          </cell>
          <cell r="H30">
            <v>300</v>
          </cell>
        </row>
        <row r="31">
          <cell r="D31" t="str">
            <v>AT - Arhiivindus</v>
          </cell>
          <cell r="E31">
            <v>4</v>
          </cell>
          <cell r="F31">
            <v>427</v>
          </cell>
          <cell r="G31">
            <v>398</v>
          </cell>
          <cell r="H31">
            <v>457</v>
          </cell>
        </row>
        <row r="32">
          <cell r="D32" t="str">
            <v>AT - Ekspertiis</v>
          </cell>
          <cell r="E32">
            <v>1</v>
          </cell>
          <cell r="F32">
            <v>160</v>
          </cell>
          <cell r="G32">
            <v>150</v>
          </cell>
          <cell r="H32">
            <v>171</v>
          </cell>
        </row>
        <row r="33">
          <cell r="D33" t="str">
            <v>AT - Ekspertiis</v>
          </cell>
          <cell r="E33">
            <v>2</v>
          </cell>
          <cell r="F33">
            <v>212</v>
          </cell>
          <cell r="G33">
            <v>198</v>
          </cell>
          <cell r="H33">
            <v>227</v>
          </cell>
        </row>
        <row r="34">
          <cell r="D34" t="str">
            <v>AT - Ekspertiis</v>
          </cell>
          <cell r="E34">
            <v>3</v>
          </cell>
          <cell r="F34">
            <v>281</v>
          </cell>
          <cell r="G34">
            <v>262</v>
          </cell>
          <cell r="H34">
            <v>300</v>
          </cell>
        </row>
        <row r="35">
          <cell r="D35" t="str">
            <v>AT - Ekspertiis</v>
          </cell>
          <cell r="E35">
            <v>4</v>
          </cell>
          <cell r="F35">
            <v>323</v>
          </cell>
          <cell r="G35">
            <v>301</v>
          </cell>
          <cell r="H35">
            <v>345</v>
          </cell>
        </row>
        <row r="36">
          <cell r="D36" t="str">
            <v>AT - Ekspertiis</v>
          </cell>
          <cell r="E36">
            <v>5</v>
          </cell>
          <cell r="F36">
            <v>427</v>
          </cell>
          <cell r="G36">
            <v>398</v>
          </cell>
          <cell r="H36">
            <v>457</v>
          </cell>
        </row>
        <row r="37">
          <cell r="D37" t="str">
            <v>AT - Finantsanalüüs, -planeerimine ja -juhtimine</v>
          </cell>
          <cell r="E37">
            <v>1</v>
          </cell>
          <cell r="F37">
            <v>160</v>
          </cell>
          <cell r="G37">
            <v>150</v>
          </cell>
          <cell r="H37">
            <v>171</v>
          </cell>
        </row>
        <row r="38">
          <cell r="D38" t="str">
            <v>AT - Finantsanalüüs, -planeerimine ja -juhtimine</v>
          </cell>
          <cell r="E38">
            <v>2</v>
          </cell>
          <cell r="F38">
            <v>184</v>
          </cell>
          <cell r="G38">
            <v>172</v>
          </cell>
          <cell r="H38">
            <v>197</v>
          </cell>
        </row>
        <row r="39">
          <cell r="D39" t="str">
            <v>AT - Finantsanalüüs, -planeerimine ja -juhtimine</v>
          </cell>
          <cell r="E39">
            <v>3</v>
          </cell>
          <cell r="F39">
            <v>281</v>
          </cell>
          <cell r="G39">
            <v>262</v>
          </cell>
          <cell r="H39">
            <v>300</v>
          </cell>
        </row>
        <row r="40">
          <cell r="D40" t="str">
            <v>AT - Finantsanalüüs, -planeerimine ja -juhtimine</v>
          </cell>
          <cell r="E40">
            <v>4</v>
          </cell>
          <cell r="F40">
            <v>427</v>
          </cell>
          <cell r="G40">
            <v>398</v>
          </cell>
          <cell r="H40">
            <v>457</v>
          </cell>
        </row>
        <row r="41">
          <cell r="D41" t="str">
            <v>AT - Finantsanalüüs, -planeerimine ja -juhtimine</v>
          </cell>
          <cell r="E41">
            <v>5</v>
          </cell>
          <cell r="F41">
            <v>492</v>
          </cell>
          <cell r="G41">
            <v>458</v>
          </cell>
          <cell r="H41">
            <v>526</v>
          </cell>
        </row>
        <row r="42">
          <cell r="D42" t="str">
            <v>AT - Geomaatika</v>
          </cell>
          <cell r="E42">
            <v>1</v>
          </cell>
          <cell r="F42">
            <v>160</v>
          </cell>
          <cell r="G42">
            <v>150</v>
          </cell>
          <cell r="H42">
            <v>171</v>
          </cell>
        </row>
        <row r="43">
          <cell r="D43" t="str">
            <v>AT - Geomaatika</v>
          </cell>
          <cell r="E43">
            <v>2</v>
          </cell>
          <cell r="F43">
            <v>212</v>
          </cell>
          <cell r="G43">
            <v>198</v>
          </cell>
          <cell r="H43">
            <v>227</v>
          </cell>
        </row>
        <row r="44">
          <cell r="D44" t="str">
            <v>AT - Geomaatika</v>
          </cell>
          <cell r="E44">
            <v>3</v>
          </cell>
          <cell r="F44">
            <v>244</v>
          </cell>
          <cell r="G44">
            <v>228</v>
          </cell>
          <cell r="H44">
            <v>261</v>
          </cell>
        </row>
        <row r="45">
          <cell r="D45" t="str">
            <v>AT - Geomaatika</v>
          </cell>
          <cell r="E45">
            <v>4</v>
          </cell>
          <cell r="F45">
            <v>371</v>
          </cell>
          <cell r="G45">
            <v>346</v>
          </cell>
          <cell r="H45">
            <v>397</v>
          </cell>
        </row>
        <row r="46">
          <cell r="D46" t="str">
            <v>AT - Haridus</v>
          </cell>
          <cell r="E46">
            <v>1</v>
          </cell>
          <cell r="F46">
            <v>160</v>
          </cell>
          <cell r="G46">
            <v>150</v>
          </cell>
          <cell r="H46">
            <v>171</v>
          </cell>
        </row>
        <row r="47">
          <cell r="D47" t="str">
            <v>AT - Haridus</v>
          </cell>
          <cell r="E47" t="str">
            <v>2A</v>
          </cell>
          <cell r="F47">
            <v>244</v>
          </cell>
          <cell r="G47">
            <v>228</v>
          </cell>
          <cell r="H47">
            <v>261</v>
          </cell>
        </row>
        <row r="48">
          <cell r="D48" t="str">
            <v>AT - Haridus</v>
          </cell>
          <cell r="E48" t="str">
            <v>2B</v>
          </cell>
          <cell r="F48">
            <v>244</v>
          </cell>
          <cell r="G48">
            <v>228</v>
          </cell>
          <cell r="H48">
            <v>261</v>
          </cell>
        </row>
        <row r="49">
          <cell r="D49" t="str">
            <v>AT - Haridus</v>
          </cell>
          <cell r="E49" t="str">
            <v>3A</v>
          </cell>
          <cell r="F49">
            <v>323</v>
          </cell>
          <cell r="G49">
            <v>301</v>
          </cell>
          <cell r="H49">
            <v>345</v>
          </cell>
        </row>
        <row r="50">
          <cell r="D50" t="str">
            <v>AT - Haridus</v>
          </cell>
          <cell r="E50" t="str">
            <v>3B</v>
          </cell>
          <cell r="F50">
            <v>323</v>
          </cell>
          <cell r="G50">
            <v>301</v>
          </cell>
          <cell r="H50">
            <v>345</v>
          </cell>
        </row>
        <row r="51">
          <cell r="D51" t="str">
            <v>AT - Haridus</v>
          </cell>
          <cell r="E51">
            <v>4</v>
          </cell>
          <cell r="F51">
            <v>492</v>
          </cell>
          <cell r="G51">
            <v>458</v>
          </cell>
          <cell r="H51">
            <v>526</v>
          </cell>
        </row>
        <row r="52">
          <cell r="D52" t="str">
            <v>AT - Info ja dokumendihaldus</v>
          </cell>
          <cell r="E52">
            <v>1</v>
          </cell>
          <cell r="F52">
            <v>105</v>
          </cell>
          <cell r="G52">
            <v>98</v>
          </cell>
          <cell r="H52">
            <v>112</v>
          </cell>
        </row>
        <row r="53">
          <cell r="D53" t="str">
            <v>AT - Info ja dokumendihaldus</v>
          </cell>
          <cell r="E53">
            <v>2</v>
          </cell>
          <cell r="F53">
            <v>139</v>
          </cell>
          <cell r="G53">
            <v>130</v>
          </cell>
          <cell r="H53">
            <v>149</v>
          </cell>
        </row>
        <row r="54">
          <cell r="D54" t="str">
            <v>AT - Info ja dokumendihaldus</v>
          </cell>
          <cell r="E54">
            <v>3</v>
          </cell>
          <cell r="F54">
            <v>212</v>
          </cell>
          <cell r="G54">
            <v>198</v>
          </cell>
          <cell r="H54">
            <v>227</v>
          </cell>
        </row>
        <row r="55">
          <cell r="D55" t="str">
            <v>AT - Info ja dokumendihaldus</v>
          </cell>
          <cell r="E55">
            <v>4</v>
          </cell>
          <cell r="F55">
            <v>281</v>
          </cell>
          <cell r="G55">
            <v>262</v>
          </cell>
          <cell r="H55">
            <v>300</v>
          </cell>
        </row>
        <row r="56">
          <cell r="D56" t="str">
            <v>AT - Info ja dokumendihaldus</v>
          </cell>
          <cell r="E56">
            <v>5</v>
          </cell>
          <cell r="F56">
            <v>371</v>
          </cell>
          <cell r="G56">
            <v>346</v>
          </cell>
          <cell r="H56">
            <v>397</v>
          </cell>
        </row>
        <row r="57">
          <cell r="D57" t="str">
            <v>AT - Inseneritööd</v>
          </cell>
          <cell r="E57">
            <v>1</v>
          </cell>
          <cell r="F57">
            <v>160</v>
          </cell>
          <cell r="G57">
            <v>150</v>
          </cell>
          <cell r="H57">
            <v>171</v>
          </cell>
        </row>
        <row r="58">
          <cell r="D58" t="str">
            <v>AT - Inseneritööd</v>
          </cell>
          <cell r="E58">
            <v>2</v>
          </cell>
          <cell r="F58">
            <v>244</v>
          </cell>
          <cell r="G58">
            <v>228</v>
          </cell>
          <cell r="H58">
            <v>261</v>
          </cell>
        </row>
        <row r="59">
          <cell r="D59" t="str">
            <v>AT - Inseneritööd</v>
          </cell>
          <cell r="E59">
            <v>3</v>
          </cell>
          <cell r="F59">
            <v>323</v>
          </cell>
          <cell r="G59">
            <v>301</v>
          </cell>
          <cell r="H59">
            <v>345</v>
          </cell>
        </row>
        <row r="60">
          <cell r="D60" t="str">
            <v>AT - Inseneritööd</v>
          </cell>
          <cell r="E60">
            <v>4</v>
          </cell>
          <cell r="F60">
            <v>427</v>
          </cell>
          <cell r="G60">
            <v>398</v>
          </cell>
          <cell r="H60">
            <v>457</v>
          </cell>
        </row>
        <row r="61">
          <cell r="D61" t="str">
            <v>AT - Instruktorid-koolitajad</v>
          </cell>
          <cell r="E61">
            <v>1</v>
          </cell>
          <cell r="F61">
            <v>160</v>
          </cell>
          <cell r="G61">
            <v>150</v>
          </cell>
          <cell r="H61">
            <v>171</v>
          </cell>
        </row>
        <row r="62">
          <cell r="D62" t="str">
            <v>AT - Instruktorid-koolitajad</v>
          </cell>
          <cell r="E62">
            <v>2</v>
          </cell>
          <cell r="F62">
            <v>212</v>
          </cell>
          <cell r="G62">
            <v>198</v>
          </cell>
          <cell r="H62">
            <v>227</v>
          </cell>
        </row>
        <row r="63">
          <cell r="D63" t="str">
            <v>AT - Instruktorid-koolitajad</v>
          </cell>
          <cell r="E63">
            <v>3</v>
          </cell>
          <cell r="F63">
            <v>281</v>
          </cell>
          <cell r="G63">
            <v>262</v>
          </cell>
          <cell r="H63">
            <v>300</v>
          </cell>
        </row>
        <row r="64">
          <cell r="D64" t="str">
            <v>AT - Isikute teenindamine</v>
          </cell>
          <cell r="E64">
            <v>1</v>
          </cell>
          <cell r="F64">
            <v>79</v>
          </cell>
          <cell r="G64">
            <v>74</v>
          </cell>
          <cell r="H64">
            <v>84</v>
          </cell>
        </row>
        <row r="65">
          <cell r="D65" t="str">
            <v>AT - Isikute teenindamine</v>
          </cell>
          <cell r="E65">
            <v>2</v>
          </cell>
          <cell r="F65">
            <v>105</v>
          </cell>
          <cell r="G65">
            <v>98</v>
          </cell>
          <cell r="H65">
            <v>112</v>
          </cell>
        </row>
        <row r="66">
          <cell r="D66" t="str">
            <v>AT - Isikute teenindamine</v>
          </cell>
          <cell r="E66" t="str">
            <v>3A</v>
          </cell>
          <cell r="F66">
            <v>139</v>
          </cell>
          <cell r="G66">
            <v>130</v>
          </cell>
          <cell r="H66">
            <v>149</v>
          </cell>
        </row>
        <row r="67">
          <cell r="D67" t="str">
            <v>AT - Isikute teenindamine</v>
          </cell>
          <cell r="E67" t="str">
            <v>3B</v>
          </cell>
          <cell r="F67">
            <v>160</v>
          </cell>
          <cell r="G67">
            <v>150</v>
          </cell>
          <cell r="H67">
            <v>171</v>
          </cell>
        </row>
        <row r="68">
          <cell r="D68" t="str">
            <v>AT - Isikute teenindamine</v>
          </cell>
          <cell r="E68">
            <v>4</v>
          </cell>
          <cell r="F68">
            <v>244</v>
          </cell>
          <cell r="G68">
            <v>228</v>
          </cell>
          <cell r="H68">
            <v>261</v>
          </cell>
        </row>
        <row r="69">
          <cell r="D69" t="str">
            <v>AT - Isikute teenindamine</v>
          </cell>
          <cell r="E69">
            <v>5</v>
          </cell>
          <cell r="F69">
            <v>323</v>
          </cell>
          <cell r="G69">
            <v>301</v>
          </cell>
          <cell r="H69">
            <v>345</v>
          </cell>
        </row>
        <row r="70">
          <cell r="D70" t="str">
            <v>AT - IT - andmeturve</v>
          </cell>
          <cell r="E70">
            <v>1</v>
          </cell>
          <cell r="F70">
            <v>184</v>
          </cell>
          <cell r="G70">
            <v>172</v>
          </cell>
          <cell r="H70">
            <v>197</v>
          </cell>
        </row>
        <row r="71">
          <cell r="D71" t="str">
            <v>AT - IT - andmeturve</v>
          </cell>
          <cell r="E71">
            <v>2</v>
          </cell>
          <cell r="F71">
            <v>281</v>
          </cell>
          <cell r="G71">
            <v>262</v>
          </cell>
          <cell r="H71">
            <v>300</v>
          </cell>
        </row>
        <row r="72">
          <cell r="D72" t="str">
            <v>AT - IT - andmeturve</v>
          </cell>
          <cell r="E72">
            <v>3</v>
          </cell>
          <cell r="F72">
            <v>371</v>
          </cell>
          <cell r="G72">
            <v>346</v>
          </cell>
          <cell r="H72">
            <v>397</v>
          </cell>
        </row>
        <row r="73">
          <cell r="D73" t="str">
            <v>AT - IT - arvutigraafika</v>
          </cell>
          <cell r="E73">
            <v>1</v>
          </cell>
          <cell r="F73">
            <v>139</v>
          </cell>
          <cell r="G73">
            <v>130</v>
          </cell>
          <cell r="H73">
            <v>149</v>
          </cell>
        </row>
        <row r="74">
          <cell r="D74" t="str">
            <v>AT - IT - arvutigraafika</v>
          </cell>
          <cell r="E74">
            <v>2</v>
          </cell>
          <cell r="F74">
            <v>244</v>
          </cell>
          <cell r="G74">
            <v>228</v>
          </cell>
          <cell r="H74">
            <v>261</v>
          </cell>
        </row>
        <row r="75">
          <cell r="D75" t="str">
            <v>AT - IT - juhtimine</v>
          </cell>
          <cell r="E75">
            <v>1</v>
          </cell>
          <cell r="F75">
            <v>244</v>
          </cell>
          <cell r="G75">
            <v>228</v>
          </cell>
          <cell r="H75">
            <v>261</v>
          </cell>
        </row>
        <row r="76">
          <cell r="D76" t="str">
            <v>AT - IT - juhtimine</v>
          </cell>
          <cell r="E76">
            <v>2</v>
          </cell>
          <cell r="F76">
            <v>371</v>
          </cell>
          <cell r="G76">
            <v>346</v>
          </cell>
          <cell r="H76">
            <v>397</v>
          </cell>
        </row>
        <row r="77">
          <cell r="D77" t="str">
            <v>AT - IT - juhtimine</v>
          </cell>
          <cell r="E77">
            <v>3</v>
          </cell>
          <cell r="F77">
            <v>492</v>
          </cell>
          <cell r="G77">
            <v>458</v>
          </cell>
          <cell r="H77">
            <v>526</v>
          </cell>
        </row>
        <row r="78">
          <cell r="D78" t="str">
            <v>AT - IT - konsultandid</v>
          </cell>
          <cell r="E78">
            <v>1</v>
          </cell>
          <cell r="F78">
            <v>212</v>
          </cell>
          <cell r="G78">
            <v>198</v>
          </cell>
          <cell r="H78">
            <v>227</v>
          </cell>
        </row>
        <row r="79">
          <cell r="D79" t="str">
            <v>AT - IT - konsultandid</v>
          </cell>
          <cell r="E79">
            <v>2</v>
          </cell>
          <cell r="F79">
            <v>281</v>
          </cell>
          <cell r="G79">
            <v>262</v>
          </cell>
          <cell r="H79">
            <v>300</v>
          </cell>
        </row>
        <row r="80">
          <cell r="D80" t="str">
            <v>AT - IT - konsultandid</v>
          </cell>
          <cell r="E80">
            <v>3</v>
          </cell>
          <cell r="F80">
            <v>427</v>
          </cell>
          <cell r="G80">
            <v>398</v>
          </cell>
          <cell r="H80">
            <v>457</v>
          </cell>
        </row>
        <row r="81">
          <cell r="D81" t="str">
            <v>AT - IT - projektijuhtimine</v>
          </cell>
          <cell r="E81">
            <v>1</v>
          </cell>
          <cell r="F81">
            <v>212</v>
          </cell>
          <cell r="G81">
            <v>198</v>
          </cell>
          <cell r="H81">
            <v>227</v>
          </cell>
        </row>
        <row r="82">
          <cell r="D82" t="str">
            <v>AT - IT - projektijuhtimine</v>
          </cell>
          <cell r="E82">
            <v>2</v>
          </cell>
          <cell r="F82">
            <v>281</v>
          </cell>
          <cell r="G82">
            <v>262</v>
          </cell>
          <cell r="H82">
            <v>300</v>
          </cell>
        </row>
        <row r="83">
          <cell r="D83" t="str">
            <v>AT - IT - projektijuhtimine</v>
          </cell>
          <cell r="E83">
            <v>3</v>
          </cell>
          <cell r="F83">
            <v>371</v>
          </cell>
          <cell r="G83">
            <v>346</v>
          </cell>
          <cell r="H83">
            <v>397</v>
          </cell>
        </row>
        <row r="84">
          <cell r="D84" t="str">
            <v>AT - IT - süsteemiadministratsioon</v>
          </cell>
          <cell r="E84">
            <v>1</v>
          </cell>
          <cell r="F84">
            <v>139</v>
          </cell>
          <cell r="G84">
            <v>130</v>
          </cell>
          <cell r="H84">
            <v>149</v>
          </cell>
        </row>
        <row r="85">
          <cell r="D85" t="str">
            <v>AT - IT - süsteemiadministratsioon</v>
          </cell>
          <cell r="E85">
            <v>2</v>
          </cell>
          <cell r="F85">
            <v>212</v>
          </cell>
          <cell r="G85">
            <v>198</v>
          </cell>
          <cell r="H85">
            <v>227</v>
          </cell>
        </row>
        <row r="86">
          <cell r="D86" t="str">
            <v>AT - IT - süsteemiadministratsioon</v>
          </cell>
          <cell r="E86">
            <v>3</v>
          </cell>
          <cell r="F86">
            <v>281</v>
          </cell>
          <cell r="G86">
            <v>262</v>
          </cell>
          <cell r="H86">
            <v>300</v>
          </cell>
        </row>
        <row r="87">
          <cell r="D87" t="str">
            <v>AT - IT - süsteemiadministratsioon</v>
          </cell>
          <cell r="E87">
            <v>4</v>
          </cell>
          <cell r="F87">
            <v>427</v>
          </cell>
          <cell r="G87">
            <v>398</v>
          </cell>
          <cell r="H87">
            <v>457</v>
          </cell>
        </row>
        <row r="88">
          <cell r="D88" t="str">
            <v>AT - IT - süsteemianalüüs</v>
          </cell>
          <cell r="E88">
            <v>1</v>
          </cell>
          <cell r="F88">
            <v>160</v>
          </cell>
          <cell r="G88">
            <v>150</v>
          </cell>
          <cell r="H88">
            <v>171</v>
          </cell>
        </row>
        <row r="89">
          <cell r="D89" t="str">
            <v>AT - IT - süsteemianalüüs</v>
          </cell>
          <cell r="E89">
            <v>2</v>
          </cell>
          <cell r="F89">
            <v>244</v>
          </cell>
          <cell r="G89">
            <v>228</v>
          </cell>
          <cell r="H89">
            <v>261</v>
          </cell>
        </row>
        <row r="90">
          <cell r="D90" t="str">
            <v>AT - IT - süsteemianalüüs</v>
          </cell>
          <cell r="E90">
            <v>3</v>
          </cell>
          <cell r="F90">
            <v>323</v>
          </cell>
          <cell r="G90">
            <v>301</v>
          </cell>
          <cell r="H90">
            <v>345</v>
          </cell>
        </row>
        <row r="91">
          <cell r="D91" t="str">
            <v>AT - IT - süsteemianalüüs</v>
          </cell>
          <cell r="E91">
            <v>4</v>
          </cell>
          <cell r="F91">
            <v>492</v>
          </cell>
          <cell r="G91">
            <v>458</v>
          </cell>
          <cell r="H91">
            <v>526</v>
          </cell>
        </row>
        <row r="92">
          <cell r="D92" t="str">
            <v>AT - IT - süsteemiarhitektuur</v>
          </cell>
          <cell r="E92">
            <v>1</v>
          </cell>
          <cell r="F92">
            <v>323</v>
          </cell>
          <cell r="G92">
            <v>301</v>
          </cell>
          <cell r="H92">
            <v>345</v>
          </cell>
        </row>
        <row r="93">
          <cell r="D93" t="str">
            <v>AT - IT - süsteemiarhitektuur</v>
          </cell>
          <cell r="E93">
            <v>2</v>
          </cell>
          <cell r="F93">
            <v>427</v>
          </cell>
          <cell r="G93">
            <v>398</v>
          </cell>
          <cell r="H93">
            <v>457</v>
          </cell>
        </row>
        <row r="94">
          <cell r="D94" t="str">
            <v>AT - IT - süsteemiarhitektuur</v>
          </cell>
          <cell r="E94">
            <v>3</v>
          </cell>
          <cell r="F94">
            <v>566</v>
          </cell>
          <cell r="G94">
            <v>527</v>
          </cell>
          <cell r="H94">
            <v>605</v>
          </cell>
        </row>
        <row r="95">
          <cell r="D95" t="str">
            <v>AT - IT - tarkvara programmeerimine</v>
          </cell>
          <cell r="E95">
            <v>1</v>
          </cell>
          <cell r="F95">
            <v>160</v>
          </cell>
          <cell r="G95">
            <v>150</v>
          </cell>
          <cell r="H95">
            <v>171</v>
          </cell>
        </row>
        <row r="96">
          <cell r="D96" t="str">
            <v>AT - IT - tarkvara programmeerimine</v>
          </cell>
          <cell r="E96">
            <v>2</v>
          </cell>
          <cell r="F96">
            <v>212</v>
          </cell>
          <cell r="G96">
            <v>198</v>
          </cell>
          <cell r="H96">
            <v>227</v>
          </cell>
        </row>
        <row r="97">
          <cell r="D97" t="str">
            <v>AT - IT - tarkvara programmeerimine</v>
          </cell>
          <cell r="E97">
            <v>3</v>
          </cell>
          <cell r="F97">
            <v>281</v>
          </cell>
          <cell r="G97">
            <v>262</v>
          </cell>
          <cell r="H97">
            <v>300</v>
          </cell>
        </row>
        <row r="98">
          <cell r="D98" t="str">
            <v>AT - IT - tarkvara programmeerimine</v>
          </cell>
          <cell r="E98">
            <v>4</v>
          </cell>
          <cell r="F98">
            <v>427</v>
          </cell>
          <cell r="G98">
            <v>398</v>
          </cell>
          <cell r="H98">
            <v>457</v>
          </cell>
        </row>
        <row r="99">
          <cell r="D99" t="str">
            <v>AT - IT - teenuste tugi</v>
          </cell>
          <cell r="E99">
            <v>1</v>
          </cell>
          <cell r="F99">
            <v>160</v>
          </cell>
          <cell r="G99">
            <v>150</v>
          </cell>
          <cell r="H99">
            <v>171</v>
          </cell>
        </row>
        <row r="100">
          <cell r="D100" t="str">
            <v>AT - IT - teenuste tugi</v>
          </cell>
          <cell r="E100">
            <v>2</v>
          </cell>
          <cell r="F100">
            <v>212</v>
          </cell>
          <cell r="G100">
            <v>198</v>
          </cell>
          <cell r="H100">
            <v>227</v>
          </cell>
        </row>
        <row r="101">
          <cell r="D101" t="str">
            <v>AT - IT - teenuste tugi</v>
          </cell>
          <cell r="E101">
            <v>3</v>
          </cell>
          <cell r="F101">
            <v>281</v>
          </cell>
          <cell r="G101">
            <v>262</v>
          </cell>
          <cell r="H101">
            <v>300</v>
          </cell>
        </row>
        <row r="102">
          <cell r="D102" t="str">
            <v>AT - IT - testimine</v>
          </cell>
          <cell r="E102">
            <v>1</v>
          </cell>
          <cell r="F102">
            <v>121</v>
          </cell>
          <cell r="G102">
            <v>113</v>
          </cell>
          <cell r="H102">
            <v>129</v>
          </cell>
        </row>
        <row r="103">
          <cell r="D103" t="str">
            <v>AT - IT - testimine</v>
          </cell>
          <cell r="E103">
            <v>2</v>
          </cell>
          <cell r="F103">
            <v>160</v>
          </cell>
          <cell r="G103">
            <v>150</v>
          </cell>
          <cell r="H103">
            <v>171</v>
          </cell>
        </row>
        <row r="104">
          <cell r="D104" t="str">
            <v>AT - IT - testimine</v>
          </cell>
          <cell r="E104">
            <v>3</v>
          </cell>
          <cell r="F104">
            <v>212</v>
          </cell>
          <cell r="G104">
            <v>198</v>
          </cell>
          <cell r="H104">
            <v>227</v>
          </cell>
        </row>
        <row r="105">
          <cell r="D105" t="str">
            <v>AT - IT - testimine</v>
          </cell>
          <cell r="E105">
            <v>4</v>
          </cell>
          <cell r="F105">
            <v>281</v>
          </cell>
          <cell r="G105">
            <v>262</v>
          </cell>
          <cell r="H105">
            <v>300</v>
          </cell>
        </row>
        <row r="106">
          <cell r="D106" t="str">
            <v>AT - Kokad</v>
          </cell>
          <cell r="E106">
            <v>1</v>
          </cell>
          <cell r="F106">
            <v>79</v>
          </cell>
          <cell r="G106">
            <v>74</v>
          </cell>
          <cell r="H106">
            <v>84</v>
          </cell>
        </row>
        <row r="107">
          <cell r="D107" t="str">
            <v>AT - Kokad</v>
          </cell>
          <cell r="E107">
            <v>2</v>
          </cell>
          <cell r="F107">
            <v>105</v>
          </cell>
          <cell r="G107">
            <v>98</v>
          </cell>
          <cell r="H107">
            <v>112</v>
          </cell>
        </row>
        <row r="108">
          <cell r="D108" t="str">
            <v>AT - Kokad</v>
          </cell>
          <cell r="E108">
            <v>3</v>
          </cell>
          <cell r="F108">
            <v>160</v>
          </cell>
          <cell r="G108">
            <v>150</v>
          </cell>
          <cell r="H108">
            <v>171</v>
          </cell>
        </row>
        <row r="109">
          <cell r="D109" t="str">
            <v>AT - Kokad</v>
          </cell>
          <cell r="E109">
            <v>4</v>
          </cell>
          <cell r="F109">
            <v>281</v>
          </cell>
          <cell r="G109">
            <v>262</v>
          </cell>
          <cell r="H109">
            <v>300</v>
          </cell>
        </row>
        <row r="110">
          <cell r="D110" t="str">
            <v>AT - Kommunikatsiooni juhtimine</v>
          </cell>
          <cell r="E110">
            <v>1</v>
          </cell>
          <cell r="F110">
            <v>160</v>
          </cell>
          <cell r="G110">
            <v>150</v>
          </cell>
          <cell r="H110">
            <v>171</v>
          </cell>
        </row>
        <row r="111">
          <cell r="D111" t="str">
            <v>AT - Kommunikatsiooni juhtimine</v>
          </cell>
          <cell r="E111">
            <v>2</v>
          </cell>
          <cell r="F111">
            <v>244</v>
          </cell>
          <cell r="G111">
            <v>228</v>
          </cell>
          <cell r="H111">
            <v>261</v>
          </cell>
        </row>
        <row r="112">
          <cell r="D112" t="str">
            <v>AT - Kommunikatsiooni juhtimine</v>
          </cell>
          <cell r="E112">
            <v>3</v>
          </cell>
          <cell r="F112">
            <v>323</v>
          </cell>
          <cell r="G112">
            <v>301</v>
          </cell>
          <cell r="H112">
            <v>345</v>
          </cell>
        </row>
        <row r="113">
          <cell r="D113" t="str">
            <v>AT - Kommunikatsiooni juhtimine</v>
          </cell>
          <cell r="E113">
            <v>4</v>
          </cell>
          <cell r="F113">
            <v>492</v>
          </cell>
          <cell r="G113">
            <v>458</v>
          </cell>
          <cell r="H113">
            <v>526</v>
          </cell>
        </row>
        <row r="114">
          <cell r="D114" t="str">
            <v>AT - Koostöö korraldamine</v>
          </cell>
          <cell r="E114">
            <v>1</v>
          </cell>
          <cell r="F114">
            <v>160</v>
          </cell>
          <cell r="G114">
            <v>150</v>
          </cell>
          <cell r="H114">
            <v>171</v>
          </cell>
        </row>
        <row r="115">
          <cell r="D115" t="str">
            <v>AT - Koostöö korraldamine</v>
          </cell>
          <cell r="E115">
            <v>2</v>
          </cell>
          <cell r="F115">
            <v>212</v>
          </cell>
          <cell r="G115">
            <v>198</v>
          </cell>
          <cell r="H115">
            <v>227</v>
          </cell>
        </row>
        <row r="116">
          <cell r="D116" t="str">
            <v>AT - Koostöö korraldamine</v>
          </cell>
          <cell r="E116">
            <v>3</v>
          </cell>
          <cell r="F116">
            <v>281</v>
          </cell>
          <cell r="G116">
            <v>262</v>
          </cell>
          <cell r="H116">
            <v>300</v>
          </cell>
        </row>
        <row r="117">
          <cell r="D117" t="str">
            <v>AT - Koostöö korraldamine</v>
          </cell>
          <cell r="E117">
            <v>4</v>
          </cell>
          <cell r="F117">
            <v>427</v>
          </cell>
          <cell r="G117">
            <v>398</v>
          </cell>
          <cell r="H117">
            <v>457</v>
          </cell>
        </row>
        <row r="118">
          <cell r="D118" t="str">
            <v>AT - Korra tagamine</v>
          </cell>
          <cell r="E118">
            <v>1</v>
          </cell>
          <cell r="F118">
            <v>105</v>
          </cell>
          <cell r="G118">
            <v>98</v>
          </cell>
          <cell r="H118">
            <v>112</v>
          </cell>
        </row>
        <row r="119">
          <cell r="D119" t="str">
            <v>AT - Korra tagamine</v>
          </cell>
          <cell r="E119">
            <v>2</v>
          </cell>
          <cell r="F119">
            <v>139</v>
          </cell>
          <cell r="G119">
            <v>130</v>
          </cell>
          <cell r="H119">
            <v>149</v>
          </cell>
        </row>
        <row r="120">
          <cell r="D120" t="str">
            <v>AT - Korra tagamine</v>
          </cell>
          <cell r="E120">
            <v>3</v>
          </cell>
          <cell r="F120">
            <v>184</v>
          </cell>
          <cell r="G120">
            <v>172</v>
          </cell>
          <cell r="H120">
            <v>197</v>
          </cell>
        </row>
        <row r="121">
          <cell r="D121" t="str">
            <v>AT - Korra tagamine</v>
          </cell>
          <cell r="E121">
            <v>4</v>
          </cell>
          <cell r="F121">
            <v>212</v>
          </cell>
          <cell r="G121">
            <v>198</v>
          </cell>
          <cell r="H121">
            <v>227</v>
          </cell>
        </row>
        <row r="122">
          <cell r="D122" t="str">
            <v>AT - Korra tagamine</v>
          </cell>
          <cell r="E122">
            <v>5</v>
          </cell>
          <cell r="F122">
            <v>244</v>
          </cell>
          <cell r="G122">
            <v>228</v>
          </cell>
          <cell r="H122">
            <v>261</v>
          </cell>
        </row>
        <row r="123">
          <cell r="D123" t="str">
            <v>AT - Korra tagamine</v>
          </cell>
          <cell r="E123">
            <v>6</v>
          </cell>
          <cell r="F123">
            <v>323</v>
          </cell>
          <cell r="G123">
            <v>301</v>
          </cell>
          <cell r="H123">
            <v>345</v>
          </cell>
        </row>
        <row r="124">
          <cell r="D124" t="str">
            <v>AT - Korra tagamine</v>
          </cell>
          <cell r="E124">
            <v>7</v>
          </cell>
          <cell r="F124">
            <v>427</v>
          </cell>
          <cell r="G124">
            <v>398</v>
          </cell>
          <cell r="H124">
            <v>457</v>
          </cell>
        </row>
        <row r="125">
          <cell r="D125" t="str">
            <v>AT - Kunstilised tööd</v>
          </cell>
          <cell r="E125">
            <v>1</v>
          </cell>
          <cell r="F125">
            <v>139</v>
          </cell>
          <cell r="G125">
            <v>130</v>
          </cell>
          <cell r="H125">
            <v>149</v>
          </cell>
        </row>
        <row r="126">
          <cell r="D126" t="str">
            <v>AT - Kunstilised tööd</v>
          </cell>
          <cell r="E126">
            <v>2</v>
          </cell>
          <cell r="F126">
            <v>184</v>
          </cell>
          <cell r="G126">
            <v>172</v>
          </cell>
          <cell r="H126">
            <v>197</v>
          </cell>
        </row>
        <row r="127">
          <cell r="D127" t="str">
            <v>AT - Laboritööd</v>
          </cell>
          <cell r="E127">
            <v>1</v>
          </cell>
          <cell r="F127">
            <v>79</v>
          </cell>
          <cell r="G127">
            <v>74</v>
          </cell>
          <cell r="H127">
            <v>84</v>
          </cell>
        </row>
        <row r="128">
          <cell r="D128" t="str">
            <v>AT - Laboritööd</v>
          </cell>
          <cell r="E128">
            <v>2</v>
          </cell>
          <cell r="F128">
            <v>121</v>
          </cell>
          <cell r="G128">
            <v>113</v>
          </cell>
          <cell r="H128">
            <v>129</v>
          </cell>
        </row>
        <row r="129">
          <cell r="D129" t="str">
            <v>AT - Laboritööd</v>
          </cell>
          <cell r="E129">
            <v>3</v>
          </cell>
          <cell r="F129">
            <v>184</v>
          </cell>
          <cell r="G129">
            <v>172</v>
          </cell>
          <cell r="H129">
            <v>197</v>
          </cell>
        </row>
        <row r="130">
          <cell r="D130" t="str">
            <v>AT - Laboritööd</v>
          </cell>
          <cell r="E130">
            <v>4</v>
          </cell>
          <cell r="F130">
            <v>244</v>
          </cell>
          <cell r="G130">
            <v>228</v>
          </cell>
          <cell r="H130">
            <v>261</v>
          </cell>
        </row>
        <row r="131">
          <cell r="D131" t="str">
            <v>AT - Laboritööd</v>
          </cell>
          <cell r="E131">
            <v>5</v>
          </cell>
          <cell r="F131">
            <v>323</v>
          </cell>
          <cell r="G131">
            <v>301</v>
          </cell>
          <cell r="H131">
            <v>345</v>
          </cell>
        </row>
        <row r="132">
          <cell r="D132" t="str">
            <v>AT - Ladu</v>
          </cell>
          <cell r="E132">
            <v>1</v>
          </cell>
          <cell r="F132">
            <v>91</v>
          </cell>
          <cell r="G132">
            <v>85</v>
          </cell>
          <cell r="H132">
            <v>97</v>
          </cell>
        </row>
        <row r="133">
          <cell r="D133" t="str">
            <v>AT - Ladu</v>
          </cell>
          <cell r="E133">
            <v>2</v>
          </cell>
          <cell r="F133">
            <v>139</v>
          </cell>
          <cell r="G133">
            <v>130</v>
          </cell>
          <cell r="H133">
            <v>149</v>
          </cell>
        </row>
        <row r="134">
          <cell r="D134" t="str">
            <v>AT - Ladu</v>
          </cell>
          <cell r="E134">
            <v>3</v>
          </cell>
          <cell r="F134">
            <v>184</v>
          </cell>
          <cell r="G134">
            <v>172</v>
          </cell>
          <cell r="H134">
            <v>197</v>
          </cell>
        </row>
        <row r="135">
          <cell r="D135" t="str">
            <v>AT - Ladu</v>
          </cell>
          <cell r="E135">
            <v>4</v>
          </cell>
          <cell r="F135">
            <v>323</v>
          </cell>
          <cell r="G135">
            <v>301</v>
          </cell>
          <cell r="H135">
            <v>345</v>
          </cell>
        </row>
        <row r="136">
          <cell r="D136" t="str">
            <v>AT - Laevameeskond</v>
          </cell>
          <cell r="E136">
            <v>1</v>
          </cell>
          <cell r="F136">
            <v>91</v>
          </cell>
          <cell r="G136">
            <v>85</v>
          </cell>
          <cell r="H136">
            <v>97</v>
          </cell>
        </row>
        <row r="137">
          <cell r="D137" t="str">
            <v>AT - Laevameeskond</v>
          </cell>
          <cell r="E137">
            <v>2</v>
          </cell>
          <cell r="F137">
            <v>139</v>
          </cell>
          <cell r="G137">
            <v>130</v>
          </cell>
          <cell r="H137">
            <v>149</v>
          </cell>
        </row>
        <row r="138">
          <cell r="D138" t="str">
            <v>AT - Laevameeskond</v>
          </cell>
          <cell r="E138">
            <v>3</v>
          </cell>
          <cell r="F138">
            <v>160</v>
          </cell>
          <cell r="G138">
            <v>150</v>
          </cell>
          <cell r="H138">
            <v>171</v>
          </cell>
        </row>
        <row r="139">
          <cell r="D139" t="str">
            <v>AT - Laevameeskond</v>
          </cell>
          <cell r="E139" t="str">
            <v>4A</v>
          </cell>
          <cell r="F139">
            <v>184</v>
          </cell>
          <cell r="G139">
            <v>172</v>
          </cell>
          <cell r="H139">
            <v>197</v>
          </cell>
        </row>
        <row r="140">
          <cell r="D140" t="str">
            <v>AT - Laevameeskond</v>
          </cell>
          <cell r="E140" t="str">
            <v>4B</v>
          </cell>
          <cell r="F140">
            <v>212</v>
          </cell>
          <cell r="G140">
            <v>198</v>
          </cell>
          <cell r="H140">
            <v>227</v>
          </cell>
        </row>
        <row r="141">
          <cell r="D141" t="str">
            <v>AT - Laevameeskond</v>
          </cell>
          <cell r="E141" t="str">
            <v>4C</v>
          </cell>
          <cell r="F141">
            <v>244</v>
          </cell>
          <cell r="G141">
            <v>228</v>
          </cell>
          <cell r="H141">
            <v>261</v>
          </cell>
        </row>
        <row r="142">
          <cell r="D142" t="str">
            <v>AT - Laevameeskond</v>
          </cell>
          <cell r="E142" t="str">
            <v>5A</v>
          </cell>
          <cell r="F142">
            <v>281</v>
          </cell>
          <cell r="G142">
            <v>262</v>
          </cell>
          <cell r="H142">
            <v>300</v>
          </cell>
        </row>
        <row r="143">
          <cell r="D143" t="str">
            <v>AT - Laevameeskond</v>
          </cell>
          <cell r="E143" t="str">
            <v>5B</v>
          </cell>
          <cell r="F143">
            <v>323</v>
          </cell>
          <cell r="G143">
            <v>301</v>
          </cell>
          <cell r="H143">
            <v>345</v>
          </cell>
        </row>
        <row r="144">
          <cell r="D144" t="str">
            <v>AT - Laevameeskond</v>
          </cell>
          <cell r="E144" t="str">
            <v>5C</v>
          </cell>
          <cell r="F144">
            <v>371</v>
          </cell>
          <cell r="G144">
            <v>346</v>
          </cell>
          <cell r="H144">
            <v>397</v>
          </cell>
        </row>
        <row r="145">
          <cell r="D145" t="str">
            <v>AT - Logistika</v>
          </cell>
          <cell r="E145">
            <v>1</v>
          </cell>
          <cell r="F145">
            <v>121</v>
          </cell>
          <cell r="G145">
            <v>113</v>
          </cell>
          <cell r="H145">
            <v>129</v>
          </cell>
        </row>
        <row r="146">
          <cell r="D146" t="str">
            <v>AT - Logistika</v>
          </cell>
          <cell r="E146">
            <v>2</v>
          </cell>
          <cell r="F146">
            <v>184</v>
          </cell>
          <cell r="G146">
            <v>172</v>
          </cell>
          <cell r="H146">
            <v>197</v>
          </cell>
        </row>
        <row r="147">
          <cell r="D147" t="str">
            <v>AT - Logistika</v>
          </cell>
          <cell r="E147">
            <v>3</v>
          </cell>
          <cell r="F147">
            <v>244</v>
          </cell>
          <cell r="G147">
            <v>228</v>
          </cell>
          <cell r="H147">
            <v>261</v>
          </cell>
        </row>
        <row r="148">
          <cell r="D148" t="str">
            <v>AT - Logistika</v>
          </cell>
          <cell r="E148">
            <v>4</v>
          </cell>
          <cell r="F148">
            <v>371</v>
          </cell>
          <cell r="G148">
            <v>346</v>
          </cell>
          <cell r="H148">
            <v>397</v>
          </cell>
        </row>
        <row r="149">
          <cell r="D149" t="str">
            <v>AT - Logistika</v>
          </cell>
          <cell r="E149">
            <v>5</v>
          </cell>
          <cell r="F149">
            <v>492</v>
          </cell>
          <cell r="G149">
            <v>458</v>
          </cell>
          <cell r="H149">
            <v>526</v>
          </cell>
        </row>
        <row r="150">
          <cell r="D150" t="str">
            <v>AT - Meditsiin</v>
          </cell>
          <cell r="E150">
            <v>1</v>
          </cell>
          <cell r="F150">
            <v>91</v>
          </cell>
          <cell r="G150">
            <v>85</v>
          </cell>
          <cell r="H150">
            <v>97</v>
          </cell>
        </row>
        <row r="151">
          <cell r="D151" t="str">
            <v>AT - Meditsiin</v>
          </cell>
          <cell r="E151">
            <v>2</v>
          </cell>
          <cell r="F151">
            <v>139</v>
          </cell>
          <cell r="G151">
            <v>130</v>
          </cell>
          <cell r="H151">
            <v>149</v>
          </cell>
        </row>
        <row r="152">
          <cell r="D152" t="str">
            <v>AT - Meditsiin</v>
          </cell>
          <cell r="E152">
            <v>3</v>
          </cell>
          <cell r="F152">
            <v>244</v>
          </cell>
          <cell r="G152">
            <v>228</v>
          </cell>
          <cell r="H152">
            <v>261</v>
          </cell>
        </row>
        <row r="153">
          <cell r="D153" t="str">
            <v>AT - Meditsiin</v>
          </cell>
          <cell r="E153">
            <v>4</v>
          </cell>
          <cell r="F153">
            <v>371</v>
          </cell>
          <cell r="G153">
            <v>346</v>
          </cell>
          <cell r="H153">
            <v>397</v>
          </cell>
        </row>
        <row r="154">
          <cell r="D154" t="str">
            <v>AT - Muuseumitööd</v>
          </cell>
          <cell r="E154">
            <v>1</v>
          </cell>
          <cell r="F154">
            <v>212</v>
          </cell>
          <cell r="G154">
            <v>198</v>
          </cell>
          <cell r="H154">
            <v>227</v>
          </cell>
        </row>
        <row r="155">
          <cell r="D155" t="str">
            <v>AT - Muuseumitööd</v>
          </cell>
          <cell r="E155">
            <v>2</v>
          </cell>
          <cell r="F155">
            <v>281</v>
          </cell>
          <cell r="G155">
            <v>262</v>
          </cell>
          <cell r="H155">
            <v>300</v>
          </cell>
        </row>
        <row r="156">
          <cell r="D156" t="str">
            <v>AT - Muuseumitööd</v>
          </cell>
          <cell r="E156">
            <v>3</v>
          </cell>
          <cell r="F156">
            <v>427</v>
          </cell>
          <cell r="G156">
            <v>398</v>
          </cell>
          <cell r="H156">
            <v>457</v>
          </cell>
        </row>
        <row r="157">
          <cell r="D157" t="str">
            <v>AT - Muusikud</v>
          </cell>
          <cell r="E157">
            <v>1</v>
          </cell>
          <cell r="F157">
            <v>160</v>
          </cell>
          <cell r="G157">
            <v>150</v>
          </cell>
          <cell r="H157">
            <v>171</v>
          </cell>
        </row>
        <row r="158">
          <cell r="D158" t="str">
            <v>AT - Muusikud</v>
          </cell>
          <cell r="E158">
            <v>2</v>
          </cell>
          <cell r="F158">
            <v>244</v>
          </cell>
          <cell r="G158">
            <v>228</v>
          </cell>
          <cell r="H158">
            <v>261</v>
          </cell>
        </row>
        <row r="159">
          <cell r="D159" t="str">
            <v>AT - Nõustav ja kontrolliv järelevalve</v>
          </cell>
          <cell r="E159">
            <v>1</v>
          </cell>
          <cell r="F159">
            <v>121</v>
          </cell>
          <cell r="G159">
            <v>113</v>
          </cell>
          <cell r="H159">
            <v>129</v>
          </cell>
        </row>
        <row r="160">
          <cell r="D160" t="str">
            <v>AT - Nõustav ja kontrolliv järelevalve</v>
          </cell>
          <cell r="E160" t="str">
            <v>2A</v>
          </cell>
          <cell r="F160">
            <v>184</v>
          </cell>
          <cell r="G160">
            <v>172</v>
          </cell>
          <cell r="H160">
            <v>197</v>
          </cell>
        </row>
        <row r="161">
          <cell r="D161" t="str">
            <v>AT - Nõustav ja kontrolliv järelevalve</v>
          </cell>
          <cell r="E161" t="str">
            <v>2B</v>
          </cell>
          <cell r="F161">
            <v>212</v>
          </cell>
          <cell r="G161">
            <v>198</v>
          </cell>
          <cell r="H161">
            <v>227</v>
          </cell>
        </row>
        <row r="162">
          <cell r="D162" t="str">
            <v>AT - Nõustav ja kontrolliv järelevalve</v>
          </cell>
          <cell r="E162" t="str">
            <v>3A</v>
          </cell>
          <cell r="F162">
            <v>244</v>
          </cell>
          <cell r="G162">
            <v>228</v>
          </cell>
          <cell r="H162">
            <v>261</v>
          </cell>
        </row>
        <row r="163">
          <cell r="D163" t="str">
            <v>AT - Nõustav ja kontrolliv järelevalve</v>
          </cell>
          <cell r="E163" t="str">
            <v>3B</v>
          </cell>
          <cell r="F163">
            <v>281</v>
          </cell>
          <cell r="G163">
            <v>262</v>
          </cell>
          <cell r="H163">
            <v>300</v>
          </cell>
        </row>
        <row r="164">
          <cell r="D164" t="str">
            <v>AT - Nõustav ja kontrolliv järelevalve</v>
          </cell>
          <cell r="E164">
            <v>4</v>
          </cell>
          <cell r="F164">
            <v>323</v>
          </cell>
          <cell r="G164">
            <v>301</v>
          </cell>
          <cell r="H164">
            <v>345</v>
          </cell>
        </row>
        <row r="165">
          <cell r="D165" t="str">
            <v>AT - Nõustav ja kontrolliv järelevalve</v>
          </cell>
          <cell r="E165">
            <v>5</v>
          </cell>
          <cell r="F165">
            <v>371</v>
          </cell>
          <cell r="G165">
            <v>346</v>
          </cell>
          <cell r="H165">
            <v>397</v>
          </cell>
        </row>
        <row r="166">
          <cell r="D166" t="str">
            <v>AT - Nõustav ja kontrolliv järelevalve</v>
          </cell>
          <cell r="E166">
            <v>6</v>
          </cell>
          <cell r="F166">
            <v>427</v>
          </cell>
          <cell r="G166">
            <v>398</v>
          </cell>
          <cell r="H166">
            <v>457</v>
          </cell>
        </row>
        <row r="167">
          <cell r="D167" t="str">
            <v>AT - Operatiivinfo juhtimine</v>
          </cell>
          <cell r="E167">
            <v>1</v>
          </cell>
          <cell r="F167">
            <v>121</v>
          </cell>
          <cell r="G167">
            <v>113</v>
          </cell>
          <cell r="H167">
            <v>129</v>
          </cell>
        </row>
        <row r="168">
          <cell r="D168" t="str">
            <v>AT - Operatiivinfo juhtimine</v>
          </cell>
          <cell r="E168">
            <v>2</v>
          </cell>
          <cell r="F168">
            <v>160</v>
          </cell>
          <cell r="G168">
            <v>150</v>
          </cell>
          <cell r="H168">
            <v>171</v>
          </cell>
        </row>
        <row r="169">
          <cell r="D169" t="str">
            <v>AT - Operatiivinfo juhtimine</v>
          </cell>
          <cell r="E169" t="str">
            <v>3A</v>
          </cell>
          <cell r="F169">
            <v>244</v>
          </cell>
          <cell r="G169">
            <v>228</v>
          </cell>
          <cell r="H169">
            <v>261</v>
          </cell>
        </row>
        <row r="170">
          <cell r="D170" t="str">
            <v>AT - Operatiivinfo juhtimine</v>
          </cell>
          <cell r="E170" t="str">
            <v>3B</v>
          </cell>
          <cell r="F170">
            <v>244</v>
          </cell>
          <cell r="G170">
            <v>228</v>
          </cell>
          <cell r="H170">
            <v>261</v>
          </cell>
        </row>
        <row r="171">
          <cell r="D171" t="str">
            <v>AT - Operatiivinfo juhtimine</v>
          </cell>
          <cell r="E171">
            <v>4</v>
          </cell>
          <cell r="F171">
            <v>323</v>
          </cell>
          <cell r="G171">
            <v>301</v>
          </cell>
          <cell r="H171">
            <v>345</v>
          </cell>
        </row>
        <row r="172">
          <cell r="D172" t="str">
            <v>AT - Operatiivinfo juhtimine</v>
          </cell>
          <cell r="E172">
            <v>5</v>
          </cell>
          <cell r="F172">
            <v>492</v>
          </cell>
          <cell r="G172">
            <v>458</v>
          </cell>
          <cell r="H172">
            <v>526</v>
          </cell>
        </row>
        <row r="173">
          <cell r="D173" t="str">
            <v>AT - Organisatsiooni protsessid (tegevustõhusus ja kvaliteet)</v>
          </cell>
          <cell r="E173">
            <v>1</v>
          </cell>
          <cell r="F173">
            <v>139</v>
          </cell>
          <cell r="G173">
            <v>130</v>
          </cell>
          <cell r="H173">
            <v>149</v>
          </cell>
        </row>
        <row r="174">
          <cell r="D174" t="str">
            <v>AT - Organisatsiooni protsessid (tegevustõhusus ja kvaliteet)</v>
          </cell>
          <cell r="E174">
            <v>2</v>
          </cell>
          <cell r="F174">
            <v>184</v>
          </cell>
          <cell r="G174">
            <v>172</v>
          </cell>
          <cell r="H174">
            <v>197</v>
          </cell>
        </row>
        <row r="175">
          <cell r="D175" t="str">
            <v>AT - Organisatsiooni protsessid (tegevustõhusus ja kvaliteet)</v>
          </cell>
          <cell r="E175">
            <v>3</v>
          </cell>
          <cell r="F175">
            <v>244</v>
          </cell>
          <cell r="G175">
            <v>228</v>
          </cell>
          <cell r="H175">
            <v>261</v>
          </cell>
        </row>
        <row r="176">
          <cell r="D176" t="str">
            <v>AT - Organisatsiooni protsessid (tegevustõhusus ja kvaliteet)</v>
          </cell>
          <cell r="E176">
            <v>4</v>
          </cell>
          <cell r="F176">
            <v>323</v>
          </cell>
          <cell r="G176">
            <v>301</v>
          </cell>
          <cell r="H176">
            <v>345</v>
          </cell>
        </row>
        <row r="177">
          <cell r="D177" t="str">
            <v>AT - Organisatsiooni protsessid (tegevustõhusus ja kvaliteet)</v>
          </cell>
          <cell r="E177">
            <v>5</v>
          </cell>
          <cell r="F177">
            <v>427</v>
          </cell>
          <cell r="G177">
            <v>398</v>
          </cell>
          <cell r="H177">
            <v>457</v>
          </cell>
        </row>
        <row r="178">
          <cell r="D178" t="str">
            <v>AT - Oskustööd</v>
          </cell>
          <cell r="E178">
            <v>1</v>
          </cell>
          <cell r="F178">
            <v>105</v>
          </cell>
          <cell r="G178">
            <v>98</v>
          </cell>
          <cell r="H178">
            <v>112</v>
          </cell>
        </row>
        <row r="179">
          <cell r="D179" t="str">
            <v>AT - Oskustööd</v>
          </cell>
          <cell r="E179">
            <v>2</v>
          </cell>
          <cell r="F179">
            <v>139</v>
          </cell>
          <cell r="G179">
            <v>130</v>
          </cell>
          <cell r="H179">
            <v>149</v>
          </cell>
        </row>
        <row r="180">
          <cell r="D180" t="str">
            <v>AT - Oskustööd</v>
          </cell>
          <cell r="E180">
            <v>3</v>
          </cell>
          <cell r="F180">
            <v>184</v>
          </cell>
          <cell r="G180">
            <v>172</v>
          </cell>
          <cell r="H180">
            <v>197</v>
          </cell>
        </row>
        <row r="181">
          <cell r="D181" t="str">
            <v>AT - Oskustööd</v>
          </cell>
          <cell r="E181">
            <v>4</v>
          </cell>
          <cell r="F181">
            <v>212</v>
          </cell>
          <cell r="G181">
            <v>198</v>
          </cell>
          <cell r="H181">
            <v>227</v>
          </cell>
        </row>
        <row r="182">
          <cell r="D182" t="str">
            <v>AT - Personalijuhtimine</v>
          </cell>
          <cell r="E182">
            <v>1</v>
          </cell>
          <cell r="F182">
            <v>121</v>
          </cell>
          <cell r="G182">
            <v>113</v>
          </cell>
          <cell r="H182">
            <v>129</v>
          </cell>
        </row>
        <row r="183">
          <cell r="D183" t="str">
            <v>AT - Personalijuhtimine</v>
          </cell>
          <cell r="E183">
            <v>2</v>
          </cell>
          <cell r="F183">
            <v>184</v>
          </cell>
          <cell r="G183">
            <v>172</v>
          </cell>
          <cell r="H183">
            <v>197</v>
          </cell>
        </row>
        <row r="184">
          <cell r="D184" t="str">
            <v>AT - Personalijuhtimine</v>
          </cell>
          <cell r="E184">
            <v>3</v>
          </cell>
          <cell r="F184">
            <v>244</v>
          </cell>
          <cell r="G184">
            <v>228</v>
          </cell>
          <cell r="H184">
            <v>261</v>
          </cell>
        </row>
        <row r="185">
          <cell r="D185" t="str">
            <v>AT - Personalijuhtimine</v>
          </cell>
          <cell r="E185">
            <v>4</v>
          </cell>
          <cell r="F185">
            <v>323</v>
          </cell>
          <cell r="G185">
            <v>301</v>
          </cell>
          <cell r="H185">
            <v>345</v>
          </cell>
        </row>
        <row r="186">
          <cell r="D186" t="str">
            <v>AT - Personalijuhtimine</v>
          </cell>
          <cell r="E186">
            <v>5</v>
          </cell>
          <cell r="F186">
            <v>427</v>
          </cell>
          <cell r="G186">
            <v>398</v>
          </cell>
          <cell r="H186">
            <v>457</v>
          </cell>
        </row>
        <row r="187">
          <cell r="D187" t="str">
            <v>AT - Personalijuhtimine</v>
          </cell>
          <cell r="E187">
            <v>6</v>
          </cell>
          <cell r="F187">
            <v>492</v>
          </cell>
          <cell r="G187">
            <v>458</v>
          </cell>
          <cell r="H187">
            <v>526</v>
          </cell>
        </row>
        <row r="188">
          <cell r="D188" t="str">
            <v>AT - Piloodid</v>
          </cell>
          <cell r="E188">
            <v>1</v>
          </cell>
          <cell r="F188">
            <v>212</v>
          </cell>
          <cell r="G188">
            <v>198</v>
          </cell>
          <cell r="H188">
            <v>227</v>
          </cell>
        </row>
        <row r="189">
          <cell r="D189" t="str">
            <v>AT - Piloodid</v>
          </cell>
          <cell r="E189">
            <v>2</v>
          </cell>
          <cell r="F189">
            <v>281</v>
          </cell>
          <cell r="G189">
            <v>262</v>
          </cell>
          <cell r="H189">
            <v>300</v>
          </cell>
        </row>
        <row r="190">
          <cell r="D190" t="str">
            <v>AT - Poliitika rakendamine</v>
          </cell>
          <cell r="E190">
            <v>1</v>
          </cell>
          <cell r="F190">
            <v>160</v>
          </cell>
          <cell r="G190">
            <v>150</v>
          </cell>
          <cell r="H190">
            <v>171</v>
          </cell>
        </row>
        <row r="191">
          <cell r="D191" t="str">
            <v>AT - Poliitika rakendamine</v>
          </cell>
          <cell r="E191">
            <v>2</v>
          </cell>
          <cell r="F191">
            <v>212</v>
          </cell>
          <cell r="G191">
            <v>198</v>
          </cell>
          <cell r="H191">
            <v>227</v>
          </cell>
        </row>
        <row r="192">
          <cell r="D192" t="str">
            <v>AT - Poliitika rakendamine</v>
          </cell>
          <cell r="E192">
            <v>3</v>
          </cell>
          <cell r="F192">
            <v>281</v>
          </cell>
          <cell r="G192">
            <v>262</v>
          </cell>
          <cell r="H192">
            <v>300</v>
          </cell>
        </row>
        <row r="193">
          <cell r="D193" t="str">
            <v>AT - Poliitika rakendamine</v>
          </cell>
          <cell r="E193">
            <v>4</v>
          </cell>
          <cell r="F193">
            <v>323</v>
          </cell>
          <cell r="G193">
            <v>301</v>
          </cell>
          <cell r="H193">
            <v>345</v>
          </cell>
        </row>
        <row r="194">
          <cell r="D194" t="str">
            <v>AT - Poliitika rakendamine</v>
          </cell>
          <cell r="E194">
            <v>5</v>
          </cell>
          <cell r="F194">
            <v>427</v>
          </cell>
          <cell r="G194">
            <v>398</v>
          </cell>
          <cell r="H194">
            <v>457</v>
          </cell>
        </row>
        <row r="195">
          <cell r="D195" t="str">
            <v>AT - Poliitika rakendamine</v>
          </cell>
          <cell r="E195">
            <v>6</v>
          </cell>
          <cell r="F195">
            <v>492</v>
          </cell>
          <cell r="G195">
            <v>458</v>
          </cell>
          <cell r="H195">
            <v>526</v>
          </cell>
        </row>
        <row r="196">
          <cell r="D196" t="str">
            <v>AT - Poliitika rakendamine</v>
          </cell>
          <cell r="E196">
            <v>7</v>
          </cell>
          <cell r="F196">
            <v>566</v>
          </cell>
          <cell r="G196">
            <v>527</v>
          </cell>
          <cell r="H196">
            <v>605</v>
          </cell>
        </row>
        <row r="197">
          <cell r="D197" t="str">
            <v>AT - Projektijuhtimine</v>
          </cell>
          <cell r="E197">
            <v>1</v>
          </cell>
          <cell r="F197">
            <v>160</v>
          </cell>
          <cell r="G197">
            <v>150</v>
          </cell>
          <cell r="H197">
            <v>171</v>
          </cell>
        </row>
        <row r="198">
          <cell r="D198" t="str">
            <v>AT - Projektijuhtimine</v>
          </cell>
          <cell r="E198">
            <v>2</v>
          </cell>
          <cell r="F198">
            <v>212</v>
          </cell>
          <cell r="G198">
            <v>198</v>
          </cell>
          <cell r="H198">
            <v>227</v>
          </cell>
        </row>
        <row r="199">
          <cell r="D199" t="str">
            <v>AT - Projektijuhtimine</v>
          </cell>
          <cell r="E199">
            <v>3</v>
          </cell>
          <cell r="F199">
            <v>323</v>
          </cell>
          <cell r="G199">
            <v>301</v>
          </cell>
          <cell r="H199">
            <v>345</v>
          </cell>
        </row>
        <row r="200">
          <cell r="D200" t="str">
            <v>AT - Projektijuhtimine</v>
          </cell>
          <cell r="E200">
            <v>4</v>
          </cell>
          <cell r="F200">
            <v>427</v>
          </cell>
          <cell r="G200">
            <v>398</v>
          </cell>
          <cell r="H200">
            <v>457</v>
          </cell>
        </row>
        <row r="201">
          <cell r="D201" t="str">
            <v>AT - Päästetööd</v>
          </cell>
          <cell r="E201">
            <v>1</v>
          </cell>
          <cell r="F201">
            <v>139</v>
          </cell>
          <cell r="G201">
            <v>130</v>
          </cell>
          <cell r="H201">
            <v>149</v>
          </cell>
        </row>
        <row r="202">
          <cell r="D202" t="str">
            <v>AT - Päästetööd</v>
          </cell>
          <cell r="E202">
            <v>2</v>
          </cell>
          <cell r="F202">
            <v>184</v>
          </cell>
          <cell r="G202">
            <v>172</v>
          </cell>
          <cell r="H202">
            <v>197</v>
          </cell>
        </row>
        <row r="203">
          <cell r="D203" t="str">
            <v>AT - Päästetööd</v>
          </cell>
          <cell r="E203">
            <v>3</v>
          </cell>
          <cell r="F203">
            <v>212</v>
          </cell>
          <cell r="G203">
            <v>198</v>
          </cell>
          <cell r="H203">
            <v>227</v>
          </cell>
        </row>
        <row r="204">
          <cell r="D204" t="str">
            <v>AT - Päästetööd</v>
          </cell>
          <cell r="E204">
            <v>4</v>
          </cell>
          <cell r="F204">
            <v>244</v>
          </cell>
          <cell r="G204">
            <v>228</v>
          </cell>
          <cell r="H204">
            <v>261</v>
          </cell>
        </row>
        <row r="205">
          <cell r="D205" t="str">
            <v>AT - Päästetööd</v>
          </cell>
          <cell r="E205">
            <v>5</v>
          </cell>
          <cell r="F205">
            <v>323</v>
          </cell>
          <cell r="G205">
            <v>301</v>
          </cell>
          <cell r="H205">
            <v>345</v>
          </cell>
        </row>
        <row r="206">
          <cell r="D206" t="str">
            <v>AT - Päästetööd</v>
          </cell>
          <cell r="E206">
            <v>6</v>
          </cell>
          <cell r="F206">
            <v>427</v>
          </cell>
          <cell r="G206">
            <v>398</v>
          </cell>
          <cell r="H206">
            <v>457</v>
          </cell>
        </row>
        <row r="207">
          <cell r="D207" t="str">
            <v>AT - Raamatukogu</v>
          </cell>
          <cell r="E207">
            <v>1</v>
          </cell>
          <cell r="F207">
            <v>121</v>
          </cell>
          <cell r="G207">
            <v>113</v>
          </cell>
          <cell r="H207">
            <v>129</v>
          </cell>
        </row>
        <row r="208">
          <cell r="D208" t="str">
            <v>AT - Raamatukogu</v>
          </cell>
          <cell r="E208">
            <v>2</v>
          </cell>
          <cell r="F208">
            <v>184</v>
          </cell>
          <cell r="G208">
            <v>172</v>
          </cell>
          <cell r="H208">
            <v>197</v>
          </cell>
        </row>
        <row r="209">
          <cell r="D209" t="str">
            <v>AT - Raamatukogu</v>
          </cell>
          <cell r="E209">
            <v>3</v>
          </cell>
          <cell r="F209">
            <v>244</v>
          </cell>
          <cell r="G209">
            <v>228</v>
          </cell>
          <cell r="H209">
            <v>261</v>
          </cell>
        </row>
        <row r="210">
          <cell r="D210" t="str">
            <v>AT - Raamatukogu</v>
          </cell>
          <cell r="E210">
            <v>4</v>
          </cell>
          <cell r="F210">
            <v>427</v>
          </cell>
          <cell r="G210">
            <v>398</v>
          </cell>
          <cell r="H210">
            <v>457</v>
          </cell>
        </row>
        <row r="211">
          <cell r="D211" t="str">
            <v>AT - Raamatupidamine</v>
          </cell>
          <cell r="E211">
            <v>1</v>
          </cell>
          <cell r="F211">
            <v>105</v>
          </cell>
          <cell r="G211">
            <v>98</v>
          </cell>
          <cell r="H211">
            <v>112</v>
          </cell>
        </row>
        <row r="212">
          <cell r="D212" t="str">
            <v>AT - Raamatupidamine</v>
          </cell>
          <cell r="E212">
            <v>2</v>
          </cell>
          <cell r="F212">
            <v>184</v>
          </cell>
          <cell r="G212">
            <v>172</v>
          </cell>
          <cell r="H212">
            <v>197</v>
          </cell>
        </row>
        <row r="213">
          <cell r="D213" t="str">
            <v>AT - Raamatupidamine</v>
          </cell>
          <cell r="E213">
            <v>3</v>
          </cell>
          <cell r="F213">
            <v>244</v>
          </cell>
          <cell r="G213">
            <v>228</v>
          </cell>
          <cell r="H213">
            <v>261</v>
          </cell>
        </row>
        <row r="214">
          <cell r="D214" t="str">
            <v>AT - Raamatupidamine</v>
          </cell>
          <cell r="E214">
            <v>4</v>
          </cell>
          <cell r="F214">
            <v>371</v>
          </cell>
          <cell r="G214">
            <v>346</v>
          </cell>
          <cell r="H214">
            <v>397</v>
          </cell>
        </row>
        <row r="215">
          <cell r="D215" t="str">
            <v>AT - Raamatupidamine</v>
          </cell>
          <cell r="E215">
            <v>5</v>
          </cell>
          <cell r="F215">
            <v>492</v>
          </cell>
          <cell r="G215">
            <v>458</v>
          </cell>
          <cell r="H215">
            <v>526</v>
          </cell>
        </row>
        <row r="216">
          <cell r="D216" t="str">
            <v>AT - Registripidamine</v>
          </cell>
          <cell r="E216">
            <v>1</v>
          </cell>
          <cell r="F216">
            <v>121</v>
          </cell>
          <cell r="G216">
            <v>113</v>
          </cell>
          <cell r="H216">
            <v>129</v>
          </cell>
        </row>
        <row r="217">
          <cell r="D217" t="str">
            <v>AT - Registripidamine</v>
          </cell>
          <cell r="E217">
            <v>2</v>
          </cell>
          <cell r="F217">
            <v>184</v>
          </cell>
          <cell r="G217">
            <v>172</v>
          </cell>
          <cell r="H217">
            <v>197</v>
          </cell>
        </row>
        <row r="218">
          <cell r="D218" t="str">
            <v>AT - Registripidamine</v>
          </cell>
          <cell r="E218">
            <v>3</v>
          </cell>
          <cell r="F218">
            <v>212</v>
          </cell>
          <cell r="G218">
            <v>198</v>
          </cell>
          <cell r="H218">
            <v>227</v>
          </cell>
        </row>
        <row r="219">
          <cell r="D219" t="str">
            <v>AT - Registripidamine</v>
          </cell>
          <cell r="E219">
            <v>4</v>
          </cell>
          <cell r="F219">
            <v>281</v>
          </cell>
          <cell r="G219">
            <v>262</v>
          </cell>
          <cell r="H219">
            <v>300</v>
          </cell>
        </row>
        <row r="220">
          <cell r="D220" t="str">
            <v>AT - Registripidamine</v>
          </cell>
          <cell r="E220">
            <v>5</v>
          </cell>
          <cell r="F220">
            <v>427</v>
          </cell>
          <cell r="G220">
            <v>398</v>
          </cell>
          <cell r="H220">
            <v>457</v>
          </cell>
        </row>
        <row r="221">
          <cell r="D221" t="str">
            <v>AT - Riigihange</v>
          </cell>
          <cell r="E221">
            <v>1</v>
          </cell>
          <cell r="F221">
            <v>121</v>
          </cell>
          <cell r="G221">
            <v>113</v>
          </cell>
          <cell r="H221">
            <v>129</v>
          </cell>
        </row>
        <row r="222">
          <cell r="D222" t="str">
            <v>AT - Riigihange</v>
          </cell>
          <cell r="E222">
            <v>2</v>
          </cell>
          <cell r="F222">
            <v>212</v>
          </cell>
          <cell r="G222">
            <v>198</v>
          </cell>
          <cell r="H222">
            <v>227</v>
          </cell>
        </row>
        <row r="223">
          <cell r="D223" t="str">
            <v>AT - Riigihange</v>
          </cell>
          <cell r="E223">
            <v>3</v>
          </cell>
          <cell r="F223">
            <v>281</v>
          </cell>
          <cell r="G223">
            <v>262</v>
          </cell>
          <cell r="H223">
            <v>300</v>
          </cell>
        </row>
        <row r="224">
          <cell r="D224" t="str">
            <v>AT - Riigihange</v>
          </cell>
          <cell r="E224" t="str">
            <v>4A</v>
          </cell>
          <cell r="F224">
            <v>323</v>
          </cell>
          <cell r="G224">
            <v>301</v>
          </cell>
          <cell r="H224">
            <v>345</v>
          </cell>
        </row>
        <row r="225">
          <cell r="D225" t="str">
            <v>AT - Riigihange</v>
          </cell>
          <cell r="E225" t="str">
            <v>4B</v>
          </cell>
          <cell r="F225">
            <v>323</v>
          </cell>
          <cell r="G225">
            <v>301</v>
          </cell>
          <cell r="H225">
            <v>345</v>
          </cell>
        </row>
        <row r="226">
          <cell r="D226" t="str">
            <v>AT - Riigihange</v>
          </cell>
          <cell r="E226">
            <v>5</v>
          </cell>
          <cell r="F226">
            <v>427</v>
          </cell>
          <cell r="G226">
            <v>398</v>
          </cell>
          <cell r="H226">
            <v>457</v>
          </cell>
        </row>
        <row r="227">
          <cell r="D227" t="str">
            <v>AT - Riigikaitse</v>
          </cell>
          <cell r="E227" t="str">
            <v>1A</v>
          </cell>
          <cell r="F227">
            <v>105</v>
          </cell>
          <cell r="G227">
            <v>98</v>
          </cell>
          <cell r="H227">
            <v>112</v>
          </cell>
        </row>
        <row r="228">
          <cell r="D228" t="str">
            <v>AT - Riigikaitse</v>
          </cell>
          <cell r="E228" t="str">
            <v>1B</v>
          </cell>
          <cell r="F228">
            <v>121</v>
          </cell>
          <cell r="G228">
            <v>113</v>
          </cell>
          <cell r="H228">
            <v>129</v>
          </cell>
        </row>
        <row r="229">
          <cell r="D229" t="str">
            <v>AT - Riigikaitse</v>
          </cell>
          <cell r="E229">
            <v>2</v>
          </cell>
          <cell r="F229">
            <v>139</v>
          </cell>
          <cell r="G229">
            <v>130</v>
          </cell>
          <cell r="H229">
            <v>149</v>
          </cell>
        </row>
        <row r="230">
          <cell r="D230" t="str">
            <v>AT - Riigikaitse</v>
          </cell>
          <cell r="E230" t="str">
            <v>3A</v>
          </cell>
          <cell r="F230">
            <v>184</v>
          </cell>
          <cell r="G230">
            <v>172</v>
          </cell>
          <cell r="H230">
            <v>197</v>
          </cell>
        </row>
        <row r="231">
          <cell r="D231" t="str">
            <v>AT - Riigikaitse</v>
          </cell>
          <cell r="E231" t="str">
            <v>3B</v>
          </cell>
          <cell r="F231">
            <v>212</v>
          </cell>
          <cell r="G231">
            <v>198</v>
          </cell>
          <cell r="H231">
            <v>227</v>
          </cell>
        </row>
        <row r="232">
          <cell r="D232" t="str">
            <v>AT - Riigikaitse</v>
          </cell>
          <cell r="E232">
            <v>4</v>
          </cell>
          <cell r="F232">
            <v>281</v>
          </cell>
          <cell r="G232">
            <v>262</v>
          </cell>
          <cell r="H232">
            <v>300</v>
          </cell>
        </row>
        <row r="233">
          <cell r="D233" t="str">
            <v>AT - Riigikaitse</v>
          </cell>
          <cell r="E233" t="str">
            <v>5A</v>
          </cell>
          <cell r="F233">
            <v>371</v>
          </cell>
          <cell r="G233">
            <v>346</v>
          </cell>
          <cell r="H233">
            <v>397</v>
          </cell>
        </row>
        <row r="234">
          <cell r="D234" t="str">
            <v>AT - Riigikaitse</v>
          </cell>
          <cell r="E234" t="str">
            <v>5B</v>
          </cell>
          <cell r="F234">
            <v>492</v>
          </cell>
          <cell r="G234">
            <v>458</v>
          </cell>
          <cell r="H234">
            <v>526</v>
          </cell>
        </row>
        <row r="235">
          <cell r="D235" t="str">
            <v>AT - Riigikaitse</v>
          </cell>
          <cell r="E235">
            <v>6</v>
          </cell>
          <cell r="F235">
            <v>566</v>
          </cell>
          <cell r="G235">
            <v>527</v>
          </cell>
          <cell r="H235">
            <v>605</v>
          </cell>
        </row>
        <row r="236">
          <cell r="D236" t="str">
            <v>AT - Riigikaitse</v>
          </cell>
          <cell r="E236">
            <v>7</v>
          </cell>
          <cell r="F236">
            <v>651</v>
          </cell>
          <cell r="G236">
            <v>606</v>
          </cell>
          <cell r="H236">
            <v>696</v>
          </cell>
        </row>
        <row r="237">
          <cell r="D237" t="str">
            <v>AT - Riigikaitse</v>
          </cell>
          <cell r="E237">
            <v>8</v>
          </cell>
          <cell r="F237">
            <v>995</v>
          </cell>
          <cell r="G237">
            <v>926</v>
          </cell>
          <cell r="H237">
            <v>1066</v>
          </cell>
        </row>
        <row r="238">
          <cell r="D238" t="str">
            <v>AT - Riigivara haldamine ja sisseost</v>
          </cell>
          <cell r="E238">
            <v>1</v>
          </cell>
          <cell r="F238">
            <v>79</v>
          </cell>
          <cell r="G238">
            <v>74</v>
          </cell>
          <cell r="H238">
            <v>84</v>
          </cell>
        </row>
        <row r="239">
          <cell r="D239" t="str">
            <v>AT - Riigivara haldamine ja sisseost</v>
          </cell>
          <cell r="E239">
            <v>2</v>
          </cell>
          <cell r="F239">
            <v>121</v>
          </cell>
          <cell r="G239">
            <v>113</v>
          </cell>
          <cell r="H239">
            <v>129</v>
          </cell>
        </row>
        <row r="240">
          <cell r="D240" t="str">
            <v>AT - Riigivara haldamine ja sisseost</v>
          </cell>
          <cell r="E240">
            <v>3</v>
          </cell>
          <cell r="F240">
            <v>160</v>
          </cell>
          <cell r="G240">
            <v>150</v>
          </cell>
          <cell r="H240">
            <v>171</v>
          </cell>
        </row>
        <row r="241">
          <cell r="D241" t="str">
            <v>AT - Riigivara haldamine ja sisseost</v>
          </cell>
          <cell r="E241">
            <v>4</v>
          </cell>
          <cell r="F241">
            <v>244</v>
          </cell>
          <cell r="G241">
            <v>228</v>
          </cell>
          <cell r="H241">
            <v>261</v>
          </cell>
        </row>
        <row r="242">
          <cell r="D242" t="str">
            <v>AT - Riigivara haldamine ja sisseost</v>
          </cell>
          <cell r="E242" t="str">
            <v>5A</v>
          </cell>
          <cell r="F242">
            <v>281</v>
          </cell>
          <cell r="G242">
            <v>262</v>
          </cell>
          <cell r="H242">
            <v>300</v>
          </cell>
        </row>
        <row r="243">
          <cell r="D243" t="str">
            <v>AT - Riigivara haldamine ja sisseost</v>
          </cell>
          <cell r="E243" t="str">
            <v>5B</v>
          </cell>
          <cell r="F243">
            <v>281</v>
          </cell>
          <cell r="G243">
            <v>262</v>
          </cell>
          <cell r="H243">
            <v>300</v>
          </cell>
        </row>
        <row r="244">
          <cell r="D244" t="str">
            <v>AT - Riigivara haldamine ja sisseost</v>
          </cell>
          <cell r="E244">
            <v>6</v>
          </cell>
          <cell r="F244">
            <v>492</v>
          </cell>
          <cell r="G244">
            <v>458</v>
          </cell>
          <cell r="H244">
            <v>526</v>
          </cell>
        </row>
        <row r="245">
          <cell r="D245" t="str">
            <v>AT - Sadama kapten</v>
          </cell>
          <cell r="E245">
            <v>1</v>
          </cell>
          <cell r="F245">
            <v>212</v>
          </cell>
          <cell r="G245">
            <v>198</v>
          </cell>
          <cell r="H245">
            <v>227</v>
          </cell>
        </row>
        <row r="246">
          <cell r="D246" t="str">
            <v>AT - Sadama kapten</v>
          </cell>
          <cell r="E246">
            <v>2</v>
          </cell>
          <cell r="F246">
            <v>323</v>
          </cell>
          <cell r="G246">
            <v>301</v>
          </cell>
          <cell r="H246">
            <v>345</v>
          </cell>
        </row>
        <row r="247">
          <cell r="D247" t="str">
            <v>AT - Sekretäritööd</v>
          </cell>
          <cell r="E247">
            <v>1</v>
          </cell>
          <cell r="F247">
            <v>105</v>
          </cell>
          <cell r="G247">
            <v>98</v>
          </cell>
          <cell r="H247">
            <v>112</v>
          </cell>
        </row>
        <row r="248">
          <cell r="D248" t="str">
            <v>AT - Sekretäritööd</v>
          </cell>
          <cell r="E248">
            <v>2</v>
          </cell>
          <cell r="F248">
            <v>139</v>
          </cell>
          <cell r="G248">
            <v>130</v>
          </cell>
          <cell r="H248">
            <v>149</v>
          </cell>
        </row>
        <row r="249">
          <cell r="D249" t="str">
            <v>AT - Sekretäritööd</v>
          </cell>
          <cell r="E249">
            <v>3</v>
          </cell>
          <cell r="F249">
            <v>184</v>
          </cell>
          <cell r="G249">
            <v>172</v>
          </cell>
          <cell r="H249">
            <v>197</v>
          </cell>
        </row>
        <row r="250">
          <cell r="D250" t="str">
            <v>AT - Sekretäritööd</v>
          </cell>
          <cell r="E250">
            <v>4</v>
          </cell>
          <cell r="F250">
            <v>281</v>
          </cell>
          <cell r="G250">
            <v>262</v>
          </cell>
          <cell r="H250">
            <v>300</v>
          </cell>
        </row>
        <row r="251">
          <cell r="D251" t="str">
            <v>AT - Sisekontroll</v>
          </cell>
          <cell r="E251">
            <v>1</v>
          </cell>
          <cell r="F251">
            <v>139</v>
          </cell>
          <cell r="G251">
            <v>130</v>
          </cell>
          <cell r="H251">
            <v>149</v>
          </cell>
        </row>
        <row r="252">
          <cell r="D252" t="str">
            <v>AT - Sisekontroll</v>
          </cell>
          <cell r="E252">
            <v>2</v>
          </cell>
          <cell r="F252">
            <v>184</v>
          </cell>
          <cell r="G252">
            <v>172</v>
          </cell>
          <cell r="H252">
            <v>197</v>
          </cell>
        </row>
        <row r="253">
          <cell r="D253" t="str">
            <v>AT - Sisekontroll</v>
          </cell>
          <cell r="E253">
            <v>3</v>
          </cell>
          <cell r="F253">
            <v>281</v>
          </cell>
          <cell r="G253">
            <v>262</v>
          </cell>
          <cell r="H253">
            <v>300</v>
          </cell>
        </row>
        <row r="254">
          <cell r="D254" t="str">
            <v>AT - Sisekontroll</v>
          </cell>
          <cell r="E254">
            <v>4</v>
          </cell>
          <cell r="F254">
            <v>427</v>
          </cell>
          <cell r="G254">
            <v>398</v>
          </cell>
          <cell r="H254">
            <v>457</v>
          </cell>
        </row>
        <row r="255">
          <cell r="D255" t="str">
            <v>AT - Sotsiaalhoolekanne</v>
          </cell>
          <cell r="E255" t="str">
            <v>1A</v>
          </cell>
          <cell r="F255">
            <v>212</v>
          </cell>
          <cell r="G255">
            <v>198</v>
          </cell>
          <cell r="H255">
            <v>227</v>
          </cell>
        </row>
        <row r="256">
          <cell r="D256" t="str">
            <v>AT - Sotsiaalhoolekanne</v>
          </cell>
          <cell r="E256" t="str">
            <v>1B</v>
          </cell>
          <cell r="F256">
            <v>212</v>
          </cell>
          <cell r="G256">
            <v>198</v>
          </cell>
          <cell r="H256">
            <v>227</v>
          </cell>
        </row>
        <row r="257">
          <cell r="D257" t="str">
            <v>AT - Sotsiaalhoolekanne</v>
          </cell>
          <cell r="E257" t="str">
            <v>2A</v>
          </cell>
          <cell r="F257">
            <v>281</v>
          </cell>
          <cell r="G257">
            <v>262</v>
          </cell>
          <cell r="H257">
            <v>300</v>
          </cell>
        </row>
        <row r="258">
          <cell r="D258" t="str">
            <v>AT - Sotsiaalhoolekanne</v>
          </cell>
          <cell r="E258" t="str">
            <v>2B</v>
          </cell>
          <cell r="F258">
            <v>281</v>
          </cell>
          <cell r="G258">
            <v>262</v>
          </cell>
          <cell r="H258">
            <v>300</v>
          </cell>
        </row>
        <row r="259">
          <cell r="D259" t="str">
            <v>AT - Sotsiaalhoolekanne</v>
          </cell>
          <cell r="E259" t="str">
            <v>3A</v>
          </cell>
          <cell r="F259">
            <v>371</v>
          </cell>
          <cell r="G259">
            <v>346</v>
          </cell>
          <cell r="H259">
            <v>397</v>
          </cell>
        </row>
        <row r="260">
          <cell r="D260" t="str">
            <v>AT - Sotsiaalhoolekanne</v>
          </cell>
          <cell r="E260" t="str">
            <v>3B</v>
          </cell>
          <cell r="F260">
            <v>371</v>
          </cell>
          <cell r="G260">
            <v>346</v>
          </cell>
          <cell r="H260">
            <v>397</v>
          </cell>
        </row>
        <row r="261">
          <cell r="D261" t="str">
            <v>AT - Sotsiaalhoolekanne</v>
          </cell>
          <cell r="E261">
            <v>4</v>
          </cell>
          <cell r="F261">
            <v>427</v>
          </cell>
          <cell r="G261">
            <v>398</v>
          </cell>
          <cell r="H261">
            <v>457</v>
          </cell>
        </row>
        <row r="262">
          <cell r="D262" t="str">
            <v>AT - Sõidukijuhid</v>
          </cell>
          <cell r="E262">
            <v>1</v>
          </cell>
          <cell r="F262">
            <v>91</v>
          </cell>
          <cell r="G262">
            <v>85</v>
          </cell>
          <cell r="H262">
            <v>97</v>
          </cell>
        </row>
        <row r="263">
          <cell r="D263" t="str">
            <v>AT - Sõidukijuhid</v>
          </cell>
          <cell r="E263">
            <v>2</v>
          </cell>
          <cell r="F263">
            <v>121</v>
          </cell>
          <cell r="G263">
            <v>113</v>
          </cell>
          <cell r="H263">
            <v>129</v>
          </cell>
        </row>
        <row r="264">
          <cell r="D264" t="str">
            <v>AT - Sõidukijuhid</v>
          </cell>
          <cell r="E264">
            <v>3</v>
          </cell>
          <cell r="F264">
            <v>139</v>
          </cell>
          <cell r="G264">
            <v>130</v>
          </cell>
          <cell r="H264">
            <v>149</v>
          </cell>
        </row>
        <row r="265">
          <cell r="D265" t="str">
            <v>AT - Sõidukijuhid</v>
          </cell>
          <cell r="E265">
            <v>4</v>
          </cell>
          <cell r="F265">
            <v>160</v>
          </cell>
          <cell r="G265">
            <v>150</v>
          </cell>
          <cell r="H265">
            <v>171</v>
          </cell>
        </row>
        <row r="266">
          <cell r="D266" t="str">
            <v>AT - Toimetamine ja keeleline korrektuur</v>
          </cell>
          <cell r="E266">
            <v>1</v>
          </cell>
          <cell r="F266">
            <v>160</v>
          </cell>
          <cell r="G266">
            <v>150</v>
          </cell>
          <cell r="H266">
            <v>171</v>
          </cell>
        </row>
        <row r="267">
          <cell r="D267" t="str">
            <v>AT - Toimetamine ja keeleline korrektuur</v>
          </cell>
          <cell r="E267">
            <v>2</v>
          </cell>
          <cell r="F267">
            <v>212</v>
          </cell>
          <cell r="G267">
            <v>198</v>
          </cell>
          <cell r="H267">
            <v>227</v>
          </cell>
        </row>
        <row r="268">
          <cell r="D268" t="str">
            <v>AT - Tõlkimine</v>
          </cell>
          <cell r="E268">
            <v>1</v>
          </cell>
          <cell r="F268">
            <v>160</v>
          </cell>
          <cell r="G268">
            <v>150</v>
          </cell>
          <cell r="H268">
            <v>171</v>
          </cell>
        </row>
        <row r="269">
          <cell r="D269" t="str">
            <v>AT - Tõlkimine</v>
          </cell>
          <cell r="E269">
            <v>2</v>
          </cell>
          <cell r="F269">
            <v>212</v>
          </cell>
          <cell r="G269">
            <v>198</v>
          </cell>
          <cell r="H269">
            <v>227</v>
          </cell>
        </row>
        <row r="270">
          <cell r="D270" t="str">
            <v>AT - Tõlkimine</v>
          </cell>
          <cell r="E270">
            <v>3</v>
          </cell>
          <cell r="F270">
            <v>323</v>
          </cell>
          <cell r="G270">
            <v>301</v>
          </cell>
          <cell r="H270">
            <v>345</v>
          </cell>
        </row>
        <row r="271">
          <cell r="D271" t="str">
            <v>AT - Tõlkimine</v>
          </cell>
          <cell r="E271">
            <v>4</v>
          </cell>
          <cell r="F271">
            <v>371</v>
          </cell>
          <cell r="G271">
            <v>346</v>
          </cell>
          <cell r="H271">
            <v>397</v>
          </cell>
        </row>
        <row r="272">
          <cell r="D272" t="str">
            <v>AT - Uuriv järelevalve</v>
          </cell>
          <cell r="E272">
            <v>1</v>
          </cell>
          <cell r="F272">
            <v>160</v>
          </cell>
          <cell r="G272">
            <v>150</v>
          </cell>
          <cell r="H272">
            <v>171</v>
          </cell>
        </row>
        <row r="273">
          <cell r="D273" t="str">
            <v>AT - Uuriv järelevalve</v>
          </cell>
          <cell r="E273">
            <v>2</v>
          </cell>
          <cell r="F273">
            <v>184</v>
          </cell>
          <cell r="G273">
            <v>172</v>
          </cell>
          <cell r="H273">
            <v>197</v>
          </cell>
        </row>
        <row r="274">
          <cell r="D274" t="str">
            <v>AT - Uuriv järelevalve</v>
          </cell>
          <cell r="E274">
            <v>3</v>
          </cell>
          <cell r="F274">
            <v>244</v>
          </cell>
          <cell r="G274">
            <v>228</v>
          </cell>
          <cell r="H274">
            <v>261</v>
          </cell>
        </row>
        <row r="275">
          <cell r="D275" t="str">
            <v>AT - Uuriv järelevalve</v>
          </cell>
          <cell r="E275">
            <v>4</v>
          </cell>
          <cell r="F275">
            <v>323</v>
          </cell>
          <cell r="G275">
            <v>301</v>
          </cell>
          <cell r="H275">
            <v>345</v>
          </cell>
        </row>
        <row r="276">
          <cell r="D276" t="str">
            <v>AT - Uuriv järelevalve</v>
          </cell>
          <cell r="E276">
            <v>5</v>
          </cell>
          <cell r="F276">
            <v>371</v>
          </cell>
          <cell r="G276">
            <v>346</v>
          </cell>
          <cell r="H276">
            <v>397</v>
          </cell>
        </row>
        <row r="277">
          <cell r="D277" t="str">
            <v>AT - Uuriv järelevalve</v>
          </cell>
          <cell r="E277">
            <v>6</v>
          </cell>
          <cell r="F277">
            <v>492</v>
          </cell>
          <cell r="G277">
            <v>458</v>
          </cell>
          <cell r="H277">
            <v>526</v>
          </cell>
        </row>
        <row r="278">
          <cell r="D278" t="str">
            <v>AT - Võrguväljaannetes teabe avaldamine</v>
          </cell>
          <cell r="E278">
            <v>1</v>
          </cell>
          <cell r="F278">
            <v>121</v>
          </cell>
          <cell r="G278">
            <v>113</v>
          </cell>
          <cell r="H278">
            <v>129</v>
          </cell>
        </row>
        <row r="279">
          <cell r="D279" t="str">
            <v>AT - Võrguväljaannetes teabe avaldamine</v>
          </cell>
          <cell r="E279">
            <v>2</v>
          </cell>
          <cell r="F279">
            <v>184</v>
          </cell>
          <cell r="G279">
            <v>172</v>
          </cell>
          <cell r="H279">
            <v>197</v>
          </cell>
        </row>
        <row r="280">
          <cell r="D280" t="str">
            <v>AT - Võrguväljaannetes teabe avaldamine</v>
          </cell>
          <cell r="E280">
            <v>3</v>
          </cell>
          <cell r="F280">
            <v>212</v>
          </cell>
          <cell r="G280">
            <v>198</v>
          </cell>
          <cell r="H280">
            <v>227</v>
          </cell>
        </row>
        <row r="281">
          <cell r="D281" t="str">
            <v>AT - Võrguväljaannetes teabe avaldamine</v>
          </cell>
          <cell r="E281">
            <v>4</v>
          </cell>
          <cell r="F281">
            <v>281</v>
          </cell>
          <cell r="G281">
            <v>262</v>
          </cell>
          <cell r="H281">
            <v>300</v>
          </cell>
        </row>
        <row r="282">
          <cell r="D282" t="str">
            <v>AT - Õigusemõistmine</v>
          </cell>
          <cell r="E282">
            <v>1</v>
          </cell>
          <cell r="F282">
            <v>139</v>
          </cell>
          <cell r="G282">
            <v>130</v>
          </cell>
          <cell r="H282">
            <v>149</v>
          </cell>
        </row>
        <row r="283">
          <cell r="D283" t="str">
            <v>AT - Õigusemõistmine</v>
          </cell>
          <cell r="E283">
            <v>2</v>
          </cell>
          <cell r="F283">
            <v>160</v>
          </cell>
          <cell r="G283">
            <v>150</v>
          </cell>
          <cell r="H283">
            <v>171</v>
          </cell>
        </row>
        <row r="284">
          <cell r="D284" t="str">
            <v>AT - Õigusemõistmine</v>
          </cell>
          <cell r="E284" t="str">
            <v>3A</v>
          </cell>
          <cell r="F284">
            <v>244</v>
          </cell>
          <cell r="G284">
            <v>228</v>
          </cell>
          <cell r="H284">
            <v>261</v>
          </cell>
        </row>
        <row r="285">
          <cell r="D285" t="str">
            <v>AT - Õigusemõistmine</v>
          </cell>
          <cell r="E285" t="str">
            <v>3B</v>
          </cell>
          <cell r="F285">
            <v>281</v>
          </cell>
          <cell r="G285">
            <v>262</v>
          </cell>
          <cell r="H285">
            <v>300</v>
          </cell>
        </row>
        <row r="286">
          <cell r="D286" t="str">
            <v>AT - Õigusemõistmine</v>
          </cell>
          <cell r="E286" t="str">
            <v>3C</v>
          </cell>
          <cell r="F286">
            <v>323</v>
          </cell>
          <cell r="G286">
            <v>301</v>
          </cell>
          <cell r="H286">
            <v>345</v>
          </cell>
        </row>
        <row r="287">
          <cell r="D287" t="str">
            <v>AT - Õigusemõistmine</v>
          </cell>
          <cell r="E287" t="str">
            <v>4A</v>
          </cell>
          <cell r="F287">
            <v>371</v>
          </cell>
          <cell r="G287">
            <v>346</v>
          </cell>
          <cell r="H287">
            <v>397</v>
          </cell>
        </row>
        <row r="288">
          <cell r="D288" t="str">
            <v>AT - Õigusemõistmine</v>
          </cell>
          <cell r="E288" t="str">
            <v>4B</v>
          </cell>
          <cell r="F288">
            <v>427</v>
          </cell>
          <cell r="G288">
            <v>398</v>
          </cell>
          <cell r="H288">
            <v>457</v>
          </cell>
        </row>
        <row r="289">
          <cell r="D289" t="str">
            <v>AT - Õigusemõistmine</v>
          </cell>
          <cell r="E289">
            <v>5</v>
          </cell>
          <cell r="F289">
            <v>566</v>
          </cell>
          <cell r="G289">
            <v>527</v>
          </cell>
          <cell r="H289">
            <v>605</v>
          </cell>
        </row>
        <row r="290">
          <cell r="D290" t="str">
            <v>AT - Õigusloome</v>
          </cell>
          <cell r="E290">
            <v>1</v>
          </cell>
          <cell r="F290">
            <v>184</v>
          </cell>
          <cell r="G290">
            <v>172</v>
          </cell>
          <cell r="H290">
            <v>197</v>
          </cell>
        </row>
        <row r="291">
          <cell r="D291" t="str">
            <v>AT - Õigusloome</v>
          </cell>
          <cell r="E291">
            <v>2</v>
          </cell>
          <cell r="F291">
            <v>244</v>
          </cell>
          <cell r="G291">
            <v>228</v>
          </cell>
          <cell r="H291">
            <v>261</v>
          </cell>
        </row>
        <row r="292">
          <cell r="D292" t="str">
            <v>AT - Õigusloome</v>
          </cell>
          <cell r="E292">
            <v>3</v>
          </cell>
          <cell r="F292">
            <v>323</v>
          </cell>
          <cell r="G292">
            <v>301</v>
          </cell>
          <cell r="H292">
            <v>345</v>
          </cell>
        </row>
        <row r="293">
          <cell r="D293" t="str">
            <v>AT - Õigusloome</v>
          </cell>
          <cell r="E293">
            <v>4</v>
          </cell>
          <cell r="F293">
            <v>492</v>
          </cell>
          <cell r="G293">
            <v>458</v>
          </cell>
          <cell r="H293">
            <v>526</v>
          </cell>
        </row>
        <row r="294">
          <cell r="D294" t="str">
            <v>AT - Õigusteenused</v>
          </cell>
          <cell r="E294">
            <v>1</v>
          </cell>
          <cell r="F294">
            <v>160</v>
          </cell>
          <cell r="G294">
            <v>150</v>
          </cell>
          <cell r="H294">
            <v>171</v>
          </cell>
        </row>
        <row r="295">
          <cell r="D295" t="str">
            <v>AT - Õigusteenused</v>
          </cell>
          <cell r="E295">
            <v>2</v>
          </cell>
          <cell r="F295">
            <v>244</v>
          </cell>
          <cell r="G295">
            <v>228</v>
          </cell>
          <cell r="H295">
            <v>261</v>
          </cell>
        </row>
        <row r="296">
          <cell r="D296" t="str">
            <v>AT - Õigusteenused</v>
          </cell>
          <cell r="E296">
            <v>3</v>
          </cell>
          <cell r="F296">
            <v>323</v>
          </cell>
          <cell r="G296">
            <v>301</v>
          </cell>
          <cell r="H296">
            <v>345</v>
          </cell>
        </row>
        <row r="297">
          <cell r="D297" t="str">
            <v>AT - Õigusteenused</v>
          </cell>
          <cell r="E297">
            <v>4</v>
          </cell>
          <cell r="F297">
            <v>427</v>
          </cell>
          <cell r="G297">
            <v>398</v>
          </cell>
          <cell r="H297">
            <v>457</v>
          </cell>
        </row>
        <row r="298">
          <cell r="D298" t="str">
            <v>AT - Õigusteenused</v>
          </cell>
          <cell r="E298">
            <v>5</v>
          </cell>
          <cell r="F298">
            <v>566</v>
          </cell>
          <cell r="G298">
            <v>527</v>
          </cell>
          <cell r="H298">
            <v>605</v>
          </cell>
        </row>
        <row r="299">
          <cell r="D299" t="str">
            <v>AT - Üldjuhtimine</v>
          </cell>
          <cell r="E299">
            <v>1</v>
          </cell>
          <cell r="F299">
            <v>244</v>
          </cell>
          <cell r="G299">
            <v>228</v>
          </cell>
          <cell r="H299">
            <v>261</v>
          </cell>
        </row>
        <row r="300">
          <cell r="D300" t="str">
            <v>AT - Üldjuhtimine</v>
          </cell>
          <cell r="E300">
            <v>2</v>
          </cell>
          <cell r="F300">
            <v>323</v>
          </cell>
          <cell r="G300">
            <v>301</v>
          </cell>
          <cell r="H300">
            <v>345</v>
          </cell>
        </row>
        <row r="301">
          <cell r="D301" t="str">
            <v>AT - Üldjuhtimine</v>
          </cell>
          <cell r="E301">
            <v>3</v>
          </cell>
          <cell r="F301">
            <v>427</v>
          </cell>
          <cell r="G301">
            <v>398</v>
          </cell>
          <cell r="H301">
            <v>457</v>
          </cell>
        </row>
        <row r="302">
          <cell r="D302" t="str">
            <v>AT - Üldjuhtimine</v>
          </cell>
          <cell r="E302">
            <v>4</v>
          </cell>
          <cell r="F302">
            <v>492</v>
          </cell>
          <cell r="G302">
            <v>458</v>
          </cell>
          <cell r="H302">
            <v>526</v>
          </cell>
        </row>
        <row r="303">
          <cell r="D303" t="str">
            <v>AT - Üldjuhtimine</v>
          </cell>
          <cell r="E303">
            <v>5</v>
          </cell>
          <cell r="F303">
            <v>566</v>
          </cell>
          <cell r="G303">
            <v>527</v>
          </cell>
          <cell r="H303">
            <v>605</v>
          </cell>
        </row>
        <row r="304">
          <cell r="D304" t="str">
            <v>AT - Üldjuhtimine</v>
          </cell>
          <cell r="E304">
            <v>6</v>
          </cell>
          <cell r="F304">
            <v>651</v>
          </cell>
          <cell r="G304">
            <v>606</v>
          </cell>
          <cell r="H304">
            <v>696</v>
          </cell>
        </row>
        <row r="305">
          <cell r="D305" t="str">
            <v>AT - Üldjuhtimine</v>
          </cell>
          <cell r="E305" t="str">
            <v>7A</v>
          </cell>
          <cell r="F305">
            <v>864</v>
          </cell>
          <cell r="G305">
            <v>804</v>
          </cell>
          <cell r="H305">
            <v>925</v>
          </cell>
        </row>
        <row r="306">
          <cell r="D306" t="str">
            <v>AT - Üldjuhtimine</v>
          </cell>
          <cell r="E306" t="str">
            <v>7B</v>
          </cell>
          <cell r="F306">
            <v>995</v>
          </cell>
          <cell r="G306">
            <v>926</v>
          </cell>
          <cell r="H306">
            <v>1066</v>
          </cell>
        </row>
        <row r="307">
          <cell r="D307" t="str">
            <v>AT - Üldtööd</v>
          </cell>
          <cell r="E307">
            <v>1</v>
          </cell>
          <cell r="F307">
            <v>79</v>
          </cell>
          <cell r="G307">
            <v>74</v>
          </cell>
          <cell r="H307">
            <v>84</v>
          </cell>
        </row>
        <row r="308">
          <cell r="D308" t="str">
            <v>AT - Üldtööd</v>
          </cell>
          <cell r="E308">
            <v>2</v>
          </cell>
          <cell r="F308">
            <v>121</v>
          </cell>
          <cell r="G308">
            <v>113</v>
          </cell>
          <cell r="H308">
            <v>129</v>
          </cell>
        </row>
        <row r="309">
          <cell r="D309" t="str">
            <v>AT - Üldtööd</v>
          </cell>
          <cell r="E309">
            <v>3</v>
          </cell>
          <cell r="F309">
            <v>160</v>
          </cell>
          <cell r="G309">
            <v>150</v>
          </cell>
          <cell r="H309">
            <v>171</v>
          </cell>
        </row>
        <row r="310">
          <cell r="D310" t="str">
            <v>AT - Üldtööd</v>
          </cell>
          <cell r="E310">
            <v>4</v>
          </cell>
          <cell r="F310">
            <v>244</v>
          </cell>
          <cell r="G310">
            <v>228</v>
          </cell>
          <cell r="H310">
            <v>261</v>
          </cell>
        </row>
        <row r="311">
          <cell r="D311" t="str">
            <v>AT - Üldtööd</v>
          </cell>
          <cell r="E311">
            <v>5</v>
          </cell>
          <cell r="F311">
            <v>323</v>
          </cell>
          <cell r="G311">
            <v>301</v>
          </cell>
          <cell r="H311">
            <v>345</v>
          </cell>
        </row>
        <row r="312">
          <cell r="D312" t="str">
            <v>AT - Üldtööd</v>
          </cell>
          <cell r="E312">
            <v>6</v>
          </cell>
          <cell r="F312">
            <v>427</v>
          </cell>
          <cell r="G312">
            <v>398</v>
          </cell>
          <cell r="H312">
            <v>457</v>
          </cell>
        </row>
        <row r="313">
          <cell r="D313" t="str">
            <v>AT - Ürituste ja tseremooniate korraldamine</v>
          </cell>
          <cell r="E313">
            <v>1</v>
          </cell>
          <cell r="F313">
            <v>105</v>
          </cell>
          <cell r="G313">
            <v>98</v>
          </cell>
          <cell r="H313">
            <v>112</v>
          </cell>
        </row>
        <row r="314">
          <cell r="D314" t="str">
            <v>AT - Ürituste ja tseremooniate korraldamine</v>
          </cell>
          <cell r="E314">
            <v>2</v>
          </cell>
          <cell r="F314">
            <v>139</v>
          </cell>
          <cell r="G314">
            <v>130</v>
          </cell>
          <cell r="H314">
            <v>149</v>
          </cell>
        </row>
        <row r="315">
          <cell r="D315" t="str">
            <v>AT - Ürituste ja tseremooniate korraldamine</v>
          </cell>
          <cell r="E315">
            <v>3</v>
          </cell>
          <cell r="F315">
            <v>184</v>
          </cell>
          <cell r="G315">
            <v>172</v>
          </cell>
          <cell r="H315">
            <v>197</v>
          </cell>
        </row>
        <row r="316">
          <cell r="D316" t="str">
            <v>AT - Ürituste ja tseremooniate korraldamine</v>
          </cell>
          <cell r="E316">
            <v>4</v>
          </cell>
          <cell r="F316">
            <v>244</v>
          </cell>
          <cell r="G316">
            <v>228</v>
          </cell>
          <cell r="H316">
            <v>261</v>
          </cell>
        </row>
        <row r="317">
          <cell r="D317" t="str">
            <v>AT - Ürituste ja tseremooniate korraldamine</v>
          </cell>
          <cell r="E317">
            <v>5</v>
          </cell>
          <cell r="F317">
            <v>427</v>
          </cell>
          <cell r="G317">
            <v>398</v>
          </cell>
          <cell r="H317">
            <v>457</v>
          </cell>
        </row>
        <row r="318">
          <cell r="D318">
            <v>0</v>
          </cell>
          <cell r="E318">
            <v>0</v>
          </cell>
        </row>
        <row r="319">
          <cell r="D319">
            <v>0</v>
          </cell>
          <cell r="E319">
            <v>0</v>
          </cell>
        </row>
        <row r="320">
          <cell r="D320">
            <v>0</v>
          </cell>
          <cell r="E320">
            <v>0</v>
          </cell>
        </row>
        <row r="321">
          <cell r="D321">
            <v>0</v>
          </cell>
          <cell r="E321">
            <v>0</v>
          </cell>
        </row>
        <row r="322">
          <cell r="D322">
            <v>0</v>
          </cell>
          <cell r="E322">
            <v>0</v>
          </cell>
        </row>
        <row r="323">
          <cell r="D323">
            <v>0</v>
          </cell>
          <cell r="E323">
            <v>0</v>
          </cell>
        </row>
        <row r="324">
          <cell r="D324">
            <v>0</v>
          </cell>
          <cell r="E324">
            <v>0</v>
          </cell>
        </row>
        <row r="325">
          <cell r="D325">
            <v>0</v>
          </cell>
          <cell r="E325">
            <v>0</v>
          </cell>
        </row>
        <row r="326">
          <cell r="D326">
            <v>0</v>
          </cell>
          <cell r="E326">
            <v>0</v>
          </cell>
        </row>
        <row r="327">
          <cell r="D327">
            <v>0</v>
          </cell>
          <cell r="E327">
            <v>0</v>
          </cell>
        </row>
        <row r="328">
          <cell r="D328">
            <v>0</v>
          </cell>
          <cell r="E328">
            <v>0</v>
          </cell>
        </row>
        <row r="329">
          <cell r="D329">
            <v>0</v>
          </cell>
          <cell r="E329">
            <v>0</v>
          </cell>
        </row>
        <row r="330">
          <cell r="D330">
            <v>0</v>
          </cell>
          <cell r="E330">
            <v>0</v>
          </cell>
        </row>
        <row r="331">
          <cell r="D331">
            <v>0</v>
          </cell>
          <cell r="E331">
            <v>0</v>
          </cell>
        </row>
      </sheetData>
      <sheetData sheetId="11">
        <row r="2">
          <cell r="E2" t="str">
            <v>English</v>
          </cell>
        </row>
        <row r="3">
          <cell r="E3" t="str">
            <v>Estonian</v>
          </cell>
        </row>
        <row r="4">
          <cell r="E4" t="str">
            <v>Latvian</v>
          </cell>
        </row>
        <row r="5">
          <cell r="E5" t="str">
            <v>Lithuanian</v>
          </cell>
        </row>
        <row r="9">
          <cell r="H9">
            <v>0</v>
          </cell>
        </row>
        <row r="10">
          <cell r="H10">
            <v>1</v>
          </cell>
        </row>
        <row r="11">
          <cell r="H11" t="str">
            <v>1A</v>
          </cell>
        </row>
        <row r="12">
          <cell r="H12" t="str">
            <v>1B</v>
          </cell>
        </row>
        <row r="13">
          <cell r="H13">
            <v>2</v>
          </cell>
        </row>
        <row r="14">
          <cell r="H14" t="str">
            <v>2A</v>
          </cell>
        </row>
        <row r="15">
          <cell r="H15" t="str">
            <v>2B</v>
          </cell>
        </row>
        <row r="16">
          <cell r="H16" t="str">
            <v>2C</v>
          </cell>
        </row>
        <row r="17">
          <cell r="H17">
            <v>3</v>
          </cell>
        </row>
        <row r="18">
          <cell r="H18" t="str">
            <v>3A</v>
          </cell>
        </row>
        <row r="19">
          <cell r="H19" t="str">
            <v>3B</v>
          </cell>
        </row>
        <row r="20">
          <cell r="H20">
            <v>4</v>
          </cell>
        </row>
        <row r="21">
          <cell r="H21" t="str">
            <v>4A</v>
          </cell>
        </row>
        <row r="22">
          <cell r="H22" t="str">
            <v>4B</v>
          </cell>
        </row>
        <row r="23">
          <cell r="H23" t="str">
            <v>4C</v>
          </cell>
        </row>
        <row r="24">
          <cell r="H24">
            <v>5</v>
          </cell>
        </row>
        <row r="25">
          <cell r="H25" t="str">
            <v>5A</v>
          </cell>
        </row>
        <row r="26">
          <cell r="H26" t="str">
            <v>5B</v>
          </cell>
        </row>
        <row r="27">
          <cell r="H27" t="str">
            <v>5C</v>
          </cell>
        </row>
        <row r="28">
          <cell r="H28">
            <v>6</v>
          </cell>
        </row>
        <row r="29">
          <cell r="H29" t="str">
            <v>6A</v>
          </cell>
        </row>
        <row r="30">
          <cell r="H30" t="str">
            <v>6B</v>
          </cell>
        </row>
        <row r="31">
          <cell r="H31">
            <v>7</v>
          </cell>
        </row>
        <row r="32">
          <cell r="H32" t="str">
            <v>7A</v>
          </cell>
        </row>
        <row r="33">
          <cell r="H33" t="str">
            <v>7B</v>
          </cell>
        </row>
        <row r="34">
          <cell r="H34">
            <v>8</v>
          </cell>
        </row>
        <row r="35">
          <cell r="H35">
            <v>9</v>
          </cell>
        </row>
      </sheetData>
      <sheetData sheetId="12"/>
      <sheetData sheetId="13"/>
      <sheetData sheetId="14" refreshError="1"/>
      <sheetData sheetId="15"/>
      <sheetData sheetId="16"/>
      <sheetData sheetId="17">
        <row r="2">
          <cell r="D2" t="str">
            <v>Actual Job Family</v>
          </cell>
        </row>
      </sheetData>
      <sheetData sheetId="18">
        <row r="2">
          <cell r="E2" t="str">
            <v>English</v>
          </cell>
        </row>
      </sheetData>
      <sheetData sheetId="19"/>
      <sheetData sheetId="20"/>
      <sheetData sheetId="21"/>
      <sheetData sheetId="22"/>
      <sheetData sheetId="23">
        <row r="2">
          <cell r="D2" t="str">
            <v>Actual Job Family</v>
          </cell>
        </row>
      </sheetData>
      <sheetData sheetId="24">
        <row r="2">
          <cell r="E2" t="str">
            <v>English</v>
          </cell>
        </row>
      </sheetData>
      <sheetData sheetId="25"/>
      <sheetData sheetId="26"/>
      <sheetData sheetId="27"/>
      <sheetData sheetId="28"/>
      <sheetData sheetId="29">
        <row r="2">
          <cell r="D2" t="str">
            <v>Actual Job Family</v>
          </cell>
        </row>
      </sheetData>
      <sheetData sheetId="30">
        <row r="2">
          <cell r="E2" t="str">
            <v>English</v>
          </cell>
        </row>
      </sheetData>
      <sheetData sheetId="31"/>
      <sheetData sheetId="32"/>
      <sheetData sheetId="33"/>
      <sheetData sheetId="34"/>
      <sheetData sheetId="35">
        <row r="2">
          <cell r="D2" t="str">
            <v>Actual Job Family</v>
          </cell>
        </row>
      </sheetData>
      <sheetData sheetId="36">
        <row r="2">
          <cell r="E2" t="str">
            <v>English</v>
          </cell>
        </row>
      </sheetData>
      <sheetData sheetId="37"/>
      <sheetData sheetId="38"/>
      <sheetData sheetId="39"/>
      <sheetData sheetId="40"/>
      <sheetData sheetId="41">
        <row r="2">
          <cell r="D2" t="str">
            <v>Actual Job Family</v>
          </cell>
        </row>
      </sheetData>
      <sheetData sheetId="42">
        <row r="2">
          <cell r="E2" t="str">
            <v>English</v>
          </cell>
        </row>
      </sheetData>
      <sheetData sheetId="43"/>
      <sheetData sheetId="44"/>
      <sheetData sheetId="45"/>
      <sheetData sheetId="46"/>
      <sheetData sheetId="47">
        <row r="2">
          <cell r="D2" t="str">
            <v>Actual Job Family</v>
          </cell>
        </row>
      </sheetData>
      <sheetData sheetId="48">
        <row r="2">
          <cell r="E2" t="str">
            <v>English</v>
          </cell>
        </row>
      </sheetData>
      <sheetData sheetId="49"/>
      <sheetData sheetId="50"/>
      <sheetData sheetId="51"/>
      <sheetData sheetId="52"/>
      <sheetData sheetId="53">
        <row r="2">
          <cell r="D2" t="str">
            <v>Actual Job Family</v>
          </cell>
        </row>
      </sheetData>
      <sheetData sheetId="54">
        <row r="2">
          <cell r="E2" t="str">
            <v>English</v>
          </cell>
        </row>
      </sheetData>
      <sheetData sheetId="55"/>
      <sheetData sheetId="56"/>
      <sheetData sheetId="57"/>
      <sheetData sheetId="58"/>
      <sheetData sheetId="59">
        <row r="2">
          <cell r="D2" t="str">
            <v>Actual Job Family</v>
          </cell>
        </row>
      </sheetData>
      <sheetData sheetId="60">
        <row r="2">
          <cell r="E2" t="str">
            <v>English</v>
          </cell>
        </row>
      </sheetData>
      <sheetData sheetId="61"/>
      <sheetData sheetId="6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4147-3C96-4467-8C71-FBCC293355C0}">
  <dimension ref="A1:AJ385"/>
  <sheetViews>
    <sheetView showZeros="0" tabSelected="1" topLeftCell="B1" zoomScaleNormal="100" workbookViewId="0">
      <pane xSplit="1" ySplit="5" topLeftCell="C6" activePane="bottomRight" state="frozen"/>
      <selection activeCell="B1" sqref="B1"/>
      <selection pane="topRight" activeCell="C1" sqref="C1"/>
      <selection pane="bottomLeft" activeCell="B9" sqref="B9"/>
      <selection pane="bottomRight" activeCell="B3" sqref="B3"/>
    </sheetView>
  </sheetViews>
  <sheetFormatPr defaultColWidth="9.44140625" defaultRowHeight="13.2" x14ac:dyDescent="0.25"/>
  <cols>
    <col min="1" max="1" width="10" style="3" hidden="1" customWidth="1"/>
    <col min="2" max="2" width="41.44140625" style="23" customWidth="1"/>
    <col min="3" max="3" width="6.6640625" style="3" customWidth="1"/>
    <col min="4" max="7" width="8.6640625" style="3" customWidth="1"/>
    <col min="8" max="8" width="13.5546875" style="3" customWidth="1"/>
    <col min="9" max="9" width="14.5546875" style="3" customWidth="1"/>
    <col min="10" max="10" width="13.5546875" style="3" customWidth="1"/>
    <col min="11" max="11" width="14.33203125" style="3" customWidth="1"/>
    <col min="12" max="12" width="13.5546875" style="3" customWidth="1"/>
    <col min="13" max="16" width="11.33203125" style="3" customWidth="1"/>
    <col min="17" max="17" width="12.44140625" style="3" customWidth="1"/>
    <col min="18" max="18" width="11.33203125" style="3" customWidth="1"/>
    <col min="19" max="19" width="12.44140625" style="3" bestFit="1" customWidth="1"/>
    <col min="20" max="22" width="11.33203125" style="3" bestFit="1" customWidth="1"/>
    <col min="23" max="29" width="11.33203125" style="3" customWidth="1"/>
    <col min="30" max="30" width="25.6640625" style="148" customWidth="1"/>
    <col min="31" max="31" width="15.33203125" style="3" customWidth="1"/>
    <col min="32" max="16384" width="9.44140625" style="3"/>
  </cols>
  <sheetData>
    <row r="1" spans="1:36" ht="15.6" x14ac:dyDescent="0.3">
      <c r="B1" s="4"/>
      <c r="C1" s="5"/>
      <c r="D1" s="6"/>
      <c r="E1" s="6"/>
      <c r="F1" s="6"/>
      <c r="G1" s="6"/>
      <c r="H1" s="7"/>
      <c r="I1" s="7"/>
      <c r="J1" s="7"/>
      <c r="K1" s="7"/>
      <c r="L1" s="7"/>
      <c r="M1" s="7"/>
      <c r="N1" s="7"/>
      <c r="O1" s="7"/>
      <c r="P1" s="7"/>
      <c r="Q1" s="7"/>
      <c r="R1" s="7"/>
      <c r="S1" s="7"/>
      <c r="T1" s="7"/>
      <c r="U1" s="7"/>
      <c r="V1" s="7"/>
      <c r="W1" s="7"/>
      <c r="X1" s="7"/>
      <c r="Y1" s="7"/>
      <c r="Z1" s="7"/>
      <c r="AA1" s="7"/>
      <c r="AB1" s="7"/>
      <c r="AC1" s="7"/>
      <c r="AD1" s="275" t="s">
        <v>569</v>
      </c>
    </row>
    <row r="2" spans="1:36" ht="13.8" x14ac:dyDescent="0.25">
      <c r="B2" s="8" t="s">
        <v>570</v>
      </c>
      <c r="C2" s="5"/>
      <c r="D2" s="9"/>
      <c r="E2" s="9"/>
      <c r="F2" s="9"/>
      <c r="G2" s="9"/>
      <c r="H2" s="10"/>
      <c r="I2" s="10"/>
      <c r="J2" s="10"/>
      <c r="K2" s="10"/>
      <c r="L2" s="10"/>
      <c r="N2" s="177"/>
      <c r="O2" s="177"/>
      <c r="P2" s="177"/>
      <c r="Q2" s="177"/>
      <c r="R2" s="177"/>
      <c r="S2" s="177"/>
      <c r="T2" s="177"/>
      <c r="U2" s="177"/>
      <c r="V2" s="177"/>
      <c r="W2" s="177">
        <f>W7-SUM(W8:W11)</f>
        <v>0</v>
      </c>
      <c r="X2" s="177">
        <f t="shared" ref="X2:Z2" si="0">X7-SUM(X8:X11)</f>
        <v>0</v>
      </c>
      <c r="Y2" s="177">
        <f t="shared" si="0"/>
        <v>0</v>
      </c>
      <c r="Z2" s="177">
        <f t="shared" si="0"/>
        <v>0</v>
      </c>
      <c r="AA2" s="177"/>
      <c r="AB2" s="177"/>
      <c r="AC2" s="177"/>
      <c r="AD2" s="270"/>
    </row>
    <row r="3" spans="1:36" ht="13.8" x14ac:dyDescent="0.25">
      <c r="B3" s="4"/>
      <c r="C3" s="5"/>
      <c r="D3" s="9"/>
      <c r="E3" s="9"/>
      <c r="F3" s="9"/>
      <c r="G3" s="9"/>
      <c r="H3" s="10"/>
      <c r="I3" s="10"/>
      <c r="J3" s="10"/>
      <c r="K3" s="10"/>
      <c r="L3" s="10"/>
      <c r="M3" s="11">
        <f>M6-M7</f>
        <v>0</v>
      </c>
      <c r="N3" s="11"/>
      <c r="O3" s="11"/>
      <c r="P3" s="11"/>
      <c r="Q3" s="11"/>
      <c r="R3" s="11"/>
      <c r="S3" s="11">
        <f>S7-SUM(S8:S11)</f>
        <v>0</v>
      </c>
      <c r="T3" s="11">
        <f t="shared" ref="T3:V3" si="1">T7-SUM(T8:T11)</f>
        <v>0</v>
      </c>
      <c r="U3" s="11">
        <f t="shared" si="1"/>
        <v>0</v>
      </c>
      <c r="V3" s="11">
        <f t="shared" si="1"/>
        <v>0</v>
      </c>
      <c r="W3" s="11"/>
      <c r="X3" s="11"/>
      <c r="Y3" s="11"/>
      <c r="Z3" s="11"/>
      <c r="AA3" s="11"/>
      <c r="AB3" s="11"/>
      <c r="AC3" s="11"/>
      <c r="AD3" s="271"/>
    </row>
    <row r="4" spans="1:36" ht="20.7" customHeight="1" x14ac:dyDescent="0.25">
      <c r="A4" s="12" t="s">
        <v>13</v>
      </c>
      <c r="B4" s="5"/>
      <c r="C4" s="13"/>
      <c r="D4" s="6"/>
      <c r="E4" s="6"/>
      <c r="F4" s="6"/>
      <c r="G4" s="6"/>
      <c r="H4" s="14"/>
      <c r="I4" s="14"/>
      <c r="J4" s="14"/>
      <c r="K4" s="14"/>
      <c r="L4" s="14"/>
      <c r="M4" s="23">
        <f>M6-M7</f>
        <v>0</v>
      </c>
      <c r="N4" s="23">
        <f t="shared" ref="N4:O4" si="2">N6-N7</f>
        <v>0</v>
      </c>
      <c r="O4" s="23">
        <f t="shared" si="2"/>
        <v>0</v>
      </c>
      <c r="S4" s="23">
        <f>S6-S7</f>
        <v>0</v>
      </c>
      <c r="T4" s="23">
        <f t="shared" ref="T4:U4" si="3">T6-T7</f>
        <v>0</v>
      </c>
      <c r="U4" s="23">
        <f t="shared" si="3"/>
        <v>0</v>
      </c>
      <c r="V4" s="177" t="s">
        <v>2</v>
      </c>
      <c r="W4" s="276" t="s">
        <v>14</v>
      </c>
      <c r="X4" s="277"/>
      <c r="Y4" s="277"/>
      <c r="Z4" s="278"/>
      <c r="AA4" s="279" t="s">
        <v>15</v>
      </c>
      <c r="AB4" s="279"/>
      <c r="AC4" s="279"/>
    </row>
    <row r="5" spans="1:36" s="22" customFormat="1" ht="42.6" x14ac:dyDescent="0.3">
      <c r="A5" s="15">
        <v>2022</v>
      </c>
      <c r="B5" s="16" t="s">
        <v>16</v>
      </c>
      <c r="C5" s="17" t="s">
        <v>574</v>
      </c>
      <c r="D5" s="17" t="s">
        <v>576</v>
      </c>
      <c r="E5" s="274" t="s">
        <v>19</v>
      </c>
      <c r="F5" s="18" t="s">
        <v>20</v>
      </c>
      <c r="G5" s="18" t="s">
        <v>21</v>
      </c>
      <c r="H5" s="19" t="s">
        <v>579</v>
      </c>
      <c r="I5" s="20" t="s">
        <v>527</v>
      </c>
      <c r="J5" s="20" t="s">
        <v>572</v>
      </c>
      <c r="K5" s="21" t="s">
        <v>567</v>
      </c>
      <c r="L5" s="19" t="s">
        <v>285</v>
      </c>
      <c r="M5" s="20" t="s">
        <v>287</v>
      </c>
      <c r="N5" s="20" t="s">
        <v>564</v>
      </c>
      <c r="O5" s="20" t="s">
        <v>573</v>
      </c>
      <c r="P5" s="20" t="s">
        <v>566</v>
      </c>
      <c r="Q5" s="21" t="s">
        <v>578</v>
      </c>
      <c r="R5" s="20" t="s">
        <v>286</v>
      </c>
      <c r="S5" s="21">
        <v>2023</v>
      </c>
      <c r="T5" s="21">
        <v>2024</v>
      </c>
      <c r="U5" s="21">
        <v>2025</v>
      </c>
      <c r="V5" s="21">
        <v>2026</v>
      </c>
      <c r="W5" s="21" t="s">
        <v>23</v>
      </c>
      <c r="X5" s="21" t="s">
        <v>24</v>
      </c>
      <c r="Y5" s="21" t="s">
        <v>25</v>
      </c>
      <c r="Z5" s="21" t="s">
        <v>26</v>
      </c>
      <c r="AA5" s="21" t="s">
        <v>23</v>
      </c>
      <c r="AB5" s="21" t="s">
        <v>24</v>
      </c>
      <c r="AC5" s="21" t="s">
        <v>25</v>
      </c>
      <c r="AD5" s="21" t="s">
        <v>27</v>
      </c>
    </row>
    <row r="6" spans="1:36" x14ac:dyDescent="0.25">
      <c r="A6" s="23">
        <f>SUM(A14:A356)</f>
        <v>43231551</v>
      </c>
      <c r="B6" s="24" t="s">
        <v>28</v>
      </c>
      <c r="C6" s="24" t="s">
        <v>3</v>
      </c>
      <c r="D6" s="24"/>
      <c r="E6" s="24"/>
      <c r="F6" s="24"/>
      <c r="G6" s="24"/>
      <c r="H6" s="25">
        <f>H12+H14+H74+H127+H147+H176+H189+H197+H208+H287+H292+H352+H166</f>
        <v>1521086166</v>
      </c>
      <c r="I6" s="25">
        <f>I12+I14+I74+I127+I147+I176+I189+I197+I208+I287+I292+I352+I166</f>
        <v>20094653</v>
      </c>
      <c r="J6" s="25">
        <f>H6+I6</f>
        <v>1541180819</v>
      </c>
      <c r="K6" s="25">
        <f>K12+K14+K74+K127+K147+K176+K189+K197+K208+K287+K292+K352+K166</f>
        <v>111056060</v>
      </c>
      <c r="L6" s="25">
        <f>J6+K6</f>
        <v>1652236879</v>
      </c>
      <c r="M6" s="25">
        <f>M12+M14+M74+M127+M147+M176+M189+M197+M208+M287+M292+M352+M166</f>
        <v>269281681</v>
      </c>
      <c r="N6" s="25">
        <f>N12+N14+N74+N127+N147+N176+N189+N197+N208+N287+N292+N352+N166</f>
        <v>-12180051</v>
      </c>
      <c r="O6" s="25">
        <f>O12+O14+O74+O127+O147+O176+O189+O197+O208+O287+O292+O352+O166</f>
        <v>33951876</v>
      </c>
      <c r="P6" s="25">
        <f t="shared" ref="P6:P69" si="4">M6+N6+O6</f>
        <v>291053506</v>
      </c>
      <c r="Q6" s="25"/>
      <c r="R6" s="25">
        <f>P6+Q6</f>
        <v>291053506</v>
      </c>
      <c r="S6" s="25">
        <f t="shared" ref="S6:Z6" si="5">S12+S14+S74+S127+S147+S176+S189+S197+S208+S287+S292+S352+S166</f>
        <v>256900344.84974998</v>
      </c>
      <c r="T6" s="25">
        <f t="shared" si="5"/>
        <v>232753496.39899999</v>
      </c>
      <c r="U6" s="25">
        <f t="shared" si="5"/>
        <v>294675420.24874997</v>
      </c>
      <c r="V6" s="25">
        <f t="shared" si="5"/>
        <v>319677673</v>
      </c>
      <c r="W6" s="25">
        <f t="shared" si="5"/>
        <v>126488132</v>
      </c>
      <c r="X6" s="25">
        <f t="shared" si="5"/>
        <v>721349765</v>
      </c>
      <c r="Y6" s="25">
        <f t="shared" si="5"/>
        <v>107150560</v>
      </c>
      <c r="Z6" s="25">
        <f t="shared" si="5"/>
        <v>10205620</v>
      </c>
      <c r="AA6" s="25"/>
      <c r="AB6" s="25"/>
      <c r="AC6" s="25"/>
      <c r="AD6" s="123"/>
      <c r="AE6" s="257"/>
      <c r="AF6" s="257"/>
      <c r="AG6" s="257"/>
      <c r="AH6" s="257"/>
      <c r="AI6" s="257"/>
      <c r="AJ6" s="258"/>
    </row>
    <row r="7" spans="1:36" x14ac:dyDescent="0.25">
      <c r="B7" s="24" t="s">
        <v>29</v>
      </c>
      <c r="C7" s="24" t="s">
        <v>3</v>
      </c>
      <c r="D7" s="24"/>
      <c r="E7" s="24"/>
      <c r="F7" s="24"/>
      <c r="G7" s="24"/>
      <c r="H7" s="25">
        <f>SUM(H8:H11)</f>
        <v>1521086166</v>
      </c>
      <c r="I7" s="25">
        <f>SUM(I8:I11)</f>
        <v>20094653</v>
      </c>
      <c r="J7" s="25">
        <f t="shared" ref="J7:J70" si="6">H7+I7</f>
        <v>1541180819</v>
      </c>
      <c r="K7" s="25">
        <f>SUM(K8:K11)</f>
        <v>111056060</v>
      </c>
      <c r="L7" s="25">
        <f t="shared" ref="L7:L70" si="7">J7+K7</f>
        <v>1652236879</v>
      </c>
      <c r="M7" s="25">
        <f>SUM(M8:M11)</f>
        <v>269281681</v>
      </c>
      <c r="N7" s="25">
        <f>SUM(N8:N11)</f>
        <v>-12180051</v>
      </c>
      <c r="O7" s="25">
        <f>SUM(O8:O11)</f>
        <v>33951876</v>
      </c>
      <c r="P7" s="25">
        <f t="shared" si="4"/>
        <v>291053506</v>
      </c>
      <c r="Q7" s="25"/>
      <c r="R7" s="25">
        <f t="shared" ref="R7:R70" si="8">P7+Q7</f>
        <v>291053506</v>
      </c>
      <c r="S7" s="25">
        <f>SUM(S8:S11)</f>
        <v>256900344.84975001</v>
      </c>
      <c r="T7" s="25">
        <f t="shared" ref="T7:Z7" si="9">SUM(T8:T11)</f>
        <v>232753496.39899999</v>
      </c>
      <c r="U7" s="25">
        <f t="shared" si="9"/>
        <v>294675420.24874997</v>
      </c>
      <c r="V7" s="25">
        <f t="shared" si="9"/>
        <v>319677673</v>
      </c>
      <c r="W7" s="25">
        <f t="shared" si="9"/>
        <v>125190132</v>
      </c>
      <c r="X7" s="25">
        <f t="shared" si="9"/>
        <v>701912065</v>
      </c>
      <c r="Y7" s="25">
        <f t="shared" si="9"/>
        <v>98108260</v>
      </c>
      <c r="Z7" s="25">
        <f t="shared" si="9"/>
        <v>10085620</v>
      </c>
      <c r="AA7" s="25"/>
      <c r="AB7" s="25"/>
      <c r="AC7" s="25"/>
      <c r="AD7" s="123"/>
      <c r="AE7" s="258"/>
      <c r="AF7" s="258"/>
      <c r="AG7" s="258"/>
      <c r="AH7" s="258"/>
      <c r="AI7" s="257"/>
      <c r="AJ7" s="258"/>
    </row>
    <row r="8" spans="1:36" x14ac:dyDescent="0.25">
      <c r="B8" s="26" t="s">
        <v>30</v>
      </c>
      <c r="C8" s="27" t="s">
        <v>0</v>
      </c>
      <c r="D8" s="27"/>
      <c r="E8" s="27"/>
      <c r="F8" s="27"/>
      <c r="G8" s="27"/>
      <c r="H8" s="28">
        <f>SUMIF($C$12:$C$356,$C8,H$12:H$356)-H212-H256-H44-H47-H50</f>
        <v>948079235</v>
      </c>
      <c r="I8" s="28">
        <f>SUMIF($C$12:$C$356,$C8,I$12:I$356)-I212-I256-I44-I47-I50</f>
        <v>31085080</v>
      </c>
      <c r="J8" s="28">
        <f t="shared" si="6"/>
        <v>979164315</v>
      </c>
      <c r="K8" s="28">
        <f>SUMIF($C$12:$C$356,$C8,K$12:K$356)-K212-K256-K44-K47-K50</f>
        <v>111056060</v>
      </c>
      <c r="L8" s="28">
        <f t="shared" si="7"/>
        <v>1090220375</v>
      </c>
      <c r="M8" s="28">
        <f>SUMIF($C$12:$C$356,$C8,M$12:M$356)-M212-M256-M44-M47-M50</f>
        <v>237310827</v>
      </c>
      <c r="N8" s="28">
        <f>SUMIF($C$12:$C$356,$C8,N$12:N$356)-N212-N256-N44-N47-N50</f>
        <v>-12781535</v>
      </c>
      <c r="O8" s="28">
        <f>SUMIF($C$12:$C$356,$C8,O$12:O$356)-O212-O256-O44-O47-O50</f>
        <v>23785038</v>
      </c>
      <c r="P8" s="28">
        <f t="shared" si="4"/>
        <v>248314330</v>
      </c>
      <c r="Q8" s="28"/>
      <c r="R8" s="28">
        <f t="shared" si="8"/>
        <v>248314330</v>
      </c>
      <c r="S8" s="28">
        <f t="shared" ref="S8:Z8" si="10">SUMIF($C$12:$C$356,$C8,S$12:S$356)-S212-S256-S44-S47-S50</f>
        <v>207901634.84975001</v>
      </c>
      <c r="T8" s="28">
        <f t="shared" si="10"/>
        <v>160938238.39899999</v>
      </c>
      <c r="U8" s="28">
        <f t="shared" si="10"/>
        <v>123987041.24875</v>
      </c>
      <c r="V8" s="28">
        <f t="shared" si="10"/>
        <v>106871775</v>
      </c>
      <c r="W8" s="28">
        <f t="shared" si="10"/>
        <v>38000132</v>
      </c>
      <c r="X8" s="28">
        <f t="shared" si="10"/>
        <v>425352065</v>
      </c>
      <c r="Y8" s="28">
        <f t="shared" si="10"/>
        <v>41858260</v>
      </c>
      <c r="Z8" s="28">
        <f t="shared" si="10"/>
        <v>10085620</v>
      </c>
      <c r="AA8" s="28"/>
      <c r="AB8" s="28"/>
      <c r="AC8" s="28"/>
      <c r="AD8" s="64"/>
      <c r="AE8" s="257"/>
      <c r="AF8" s="257"/>
      <c r="AG8" s="257"/>
      <c r="AH8" s="257"/>
      <c r="AI8" s="257"/>
      <c r="AJ8" s="258"/>
    </row>
    <row r="9" spans="1:36" x14ac:dyDescent="0.25">
      <c r="B9" s="26"/>
      <c r="C9" s="27" t="s">
        <v>31</v>
      </c>
      <c r="D9" s="27"/>
      <c r="E9" s="27"/>
      <c r="F9" s="27"/>
      <c r="G9" s="27"/>
      <c r="H9" s="28">
        <f>SUMIF($C$12:$C$356,$C9,H$12:H$356)-H42-H214</f>
        <v>43088931</v>
      </c>
      <c r="I9" s="28">
        <f>SUMIF($C$12:$C$356,$C9,I$12:I$356)-I42-I214</f>
        <v>3182533</v>
      </c>
      <c r="J9" s="28">
        <f t="shared" si="6"/>
        <v>46271464</v>
      </c>
      <c r="K9" s="28">
        <f>SUMIF($C$12:$C$356,$C9,K$12:K$356)-K42-K214</f>
        <v>0</v>
      </c>
      <c r="L9" s="28">
        <f t="shared" si="7"/>
        <v>46271464</v>
      </c>
      <c r="M9" s="28">
        <f>SUMIF($C$12:$C$356,$C9,M$12:M$356)-M42-M214</f>
        <v>11842853</v>
      </c>
      <c r="N9" s="28">
        <f>SUMIF($C$12:$C$356,$C9,N$12:N$356)-N42-N214</f>
        <v>1918961</v>
      </c>
      <c r="O9" s="28">
        <f>SUMIF($C$12:$C$356,$C9,O$12:O$356)-O42-O214</f>
        <v>8320545</v>
      </c>
      <c r="P9" s="28">
        <f t="shared" si="4"/>
        <v>22082359</v>
      </c>
      <c r="Q9" s="28"/>
      <c r="R9" s="28">
        <f t="shared" si="8"/>
        <v>22082359</v>
      </c>
      <c r="S9" s="28">
        <f t="shared" ref="S9:Z9" si="11">SUMIF($C$12:$C$356,$C9,S$12:S$356)-S42-S214</f>
        <v>7442500</v>
      </c>
      <c r="T9" s="28">
        <f t="shared" si="11"/>
        <v>3925596</v>
      </c>
      <c r="U9" s="28">
        <f t="shared" si="11"/>
        <v>3925596</v>
      </c>
      <c r="V9" s="28">
        <f t="shared" si="11"/>
        <v>3925898</v>
      </c>
      <c r="W9" s="28">
        <f t="shared" si="11"/>
        <v>0</v>
      </c>
      <c r="X9" s="28">
        <f t="shared" si="11"/>
        <v>0</v>
      </c>
      <c r="Y9" s="28">
        <f t="shared" si="11"/>
        <v>0</v>
      </c>
      <c r="Z9" s="28">
        <f t="shared" si="11"/>
        <v>0</v>
      </c>
      <c r="AA9" s="28"/>
      <c r="AB9" s="28"/>
      <c r="AC9" s="28"/>
      <c r="AD9" s="64"/>
      <c r="AE9" s="257"/>
      <c r="AF9" s="257"/>
      <c r="AG9" s="257"/>
      <c r="AH9" s="257"/>
      <c r="AI9" s="257"/>
      <c r="AJ9" s="258"/>
    </row>
    <row r="10" spans="1:36" x14ac:dyDescent="0.25">
      <c r="B10" s="26"/>
      <c r="C10" s="27" t="s">
        <v>32</v>
      </c>
      <c r="D10" s="27"/>
      <c r="E10" s="27"/>
      <c r="F10" s="27"/>
      <c r="G10" s="27"/>
      <c r="H10" s="28">
        <f>SUMIF($C$12:$C$349,$C10,H$12:H$349)</f>
        <v>502800</v>
      </c>
      <c r="I10" s="28">
        <f>SUMIF($C$12:$C$349,$C10,I$12:I$349)</f>
        <v>0</v>
      </c>
      <c r="J10" s="28">
        <f t="shared" si="6"/>
        <v>502800</v>
      </c>
      <c r="K10" s="28">
        <f>SUMIF($C$12:$C$349,$C10,K$12:K$349)</f>
        <v>0</v>
      </c>
      <c r="L10" s="28">
        <f t="shared" si="7"/>
        <v>502800</v>
      </c>
      <c r="M10" s="28">
        <f>SUMIF($C$12:$C$349,$C10,M$12:M$349)</f>
        <v>502800</v>
      </c>
      <c r="N10" s="28">
        <f>SUMIF($C$12:$C$349,$C10,N$12:N$349)</f>
        <v>0</v>
      </c>
      <c r="O10" s="28">
        <f>SUMIF($C$12:$C$349,$C10,O$12:O$349)</f>
        <v>9267</v>
      </c>
      <c r="P10" s="28">
        <f t="shared" si="4"/>
        <v>512067</v>
      </c>
      <c r="Q10" s="28"/>
      <c r="R10" s="28">
        <f t="shared" si="8"/>
        <v>512067</v>
      </c>
      <c r="S10" s="28">
        <f t="shared" ref="S10:Z10" si="12">SUMIF($C$12:$C$349,$C10,S$12:S$349)</f>
        <v>0</v>
      </c>
      <c r="T10" s="28">
        <f t="shared" si="12"/>
        <v>0</v>
      </c>
      <c r="U10" s="28">
        <f t="shared" si="12"/>
        <v>0</v>
      </c>
      <c r="V10" s="28">
        <f t="shared" si="12"/>
        <v>0</v>
      </c>
      <c r="W10" s="28">
        <f t="shared" si="12"/>
        <v>0</v>
      </c>
      <c r="X10" s="28">
        <f t="shared" si="12"/>
        <v>0</v>
      </c>
      <c r="Y10" s="28">
        <f t="shared" si="12"/>
        <v>0</v>
      </c>
      <c r="Z10" s="28">
        <f t="shared" si="12"/>
        <v>0</v>
      </c>
      <c r="AA10" s="28"/>
      <c r="AB10" s="28"/>
      <c r="AC10" s="28"/>
      <c r="AD10" s="64"/>
      <c r="AE10" s="257"/>
      <c r="AF10" s="257"/>
      <c r="AG10" s="257"/>
      <c r="AH10" s="257"/>
      <c r="AI10" s="257"/>
      <c r="AJ10" s="258"/>
    </row>
    <row r="11" spans="1:36" x14ac:dyDescent="0.25">
      <c r="B11" s="27"/>
      <c r="C11" s="27" t="s">
        <v>33</v>
      </c>
      <c r="D11" s="27"/>
      <c r="E11" s="27"/>
      <c r="F11" s="27"/>
      <c r="G11" s="27"/>
      <c r="H11" s="28">
        <f>SUMIF($C$12:$C$356,$C11,H$12:H$356)-H213-H257-H51</f>
        <v>529415200</v>
      </c>
      <c r="I11" s="28">
        <f>SUMIF($C$12:$C$356,$C11,I$12:I$356)-I213-I257-I51</f>
        <v>-14172960</v>
      </c>
      <c r="J11" s="28">
        <f t="shared" si="6"/>
        <v>515242240</v>
      </c>
      <c r="K11" s="28">
        <f>SUMIF($C$12:$C$356,$C11,K$12:K$356)-K213-K257-K51</f>
        <v>0</v>
      </c>
      <c r="L11" s="28">
        <f t="shared" si="7"/>
        <v>515242240</v>
      </c>
      <c r="M11" s="28">
        <f>SUMIF($C$12:$C$356,$C11,M$12:M$356)-M213-M257-M51</f>
        <v>19625201</v>
      </c>
      <c r="N11" s="28">
        <f>SUMIF($C$12:$C$356,$C11,N$12:N$356)-N213-N257-N51</f>
        <v>-1317477</v>
      </c>
      <c r="O11" s="28">
        <f>SUMIF($C$12:$C$356,$C11,O$12:O$356)-O213-O257-O51</f>
        <v>1837026</v>
      </c>
      <c r="P11" s="28">
        <f t="shared" si="4"/>
        <v>20144750</v>
      </c>
      <c r="Q11" s="28"/>
      <c r="R11" s="28">
        <f t="shared" si="8"/>
        <v>20144750</v>
      </c>
      <c r="S11" s="28">
        <f t="shared" ref="S11:Z11" si="13">SUMIF($C$12:$C$356,$C11,S$12:S$356)-S213-S257-S51</f>
        <v>41556210</v>
      </c>
      <c r="T11" s="28">
        <f t="shared" si="13"/>
        <v>67889662</v>
      </c>
      <c r="U11" s="28">
        <f t="shared" si="13"/>
        <v>166762783</v>
      </c>
      <c r="V11" s="28">
        <f t="shared" si="13"/>
        <v>208880000</v>
      </c>
      <c r="W11" s="28">
        <f t="shared" si="13"/>
        <v>87190000</v>
      </c>
      <c r="X11" s="28">
        <f t="shared" si="13"/>
        <v>276560000</v>
      </c>
      <c r="Y11" s="28">
        <f t="shared" si="13"/>
        <v>56250000</v>
      </c>
      <c r="Z11" s="28">
        <f t="shared" si="13"/>
        <v>0</v>
      </c>
      <c r="AA11" s="28"/>
      <c r="AB11" s="28"/>
      <c r="AC11" s="28"/>
      <c r="AD11" s="64"/>
      <c r="AE11" s="257"/>
      <c r="AF11" s="257"/>
      <c r="AG11" s="257"/>
      <c r="AH11" s="257"/>
      <c r="AI11" s="257"/>
      <c r="AJ11" s="258"/>
    </row>
    <row r="12" spans="1:36" x14ac:dyDescent="0.25">
      <c r="B12" s="29" t="s">
        <v>34</v>
      </c>
      <c r="C12" s="29" t="s">
        <v>3</v>
      </c>
      <c r="D12" s="29"/>
      <c r="E12" s="29"/>
      <c r="F12" s="29"/>
      <c r="G12" s="29"/>
      <c r="H12" s="30">
        <f>H13</f>
        <v>1000000</v>
      </c>
      <c r="I12" s="30">
        <f>I13</f>
        <v>0</v>
      </c>
      <c r="J12" s="30">
        <f t="shared" si="6"/>
        <v>1000000</v>
      </c>
      <c r="K12" s="30"/>
      <c r="L12" s="30">
        <f t="shared" si="7"/>
        <v>1000000</v>
      </c>
      <c r="M12" s="30">
        <f t="shared" ref="M12" si="14">M13</f>
        <v>1000000</v>
      </c>
      <c r="N12" s="30"/>
      <c r="O12" s="30"/>
      <c r="P12" s="30">
        <f t="shared" si="4"/>
        <v>1000000</v>
      </c>
      <c r="Q12" s="30"/>
      <c r="R12" s="30">
        <f t="shared" si="8"/>
        <v>1000000</v>
      </c>
      <c r="S12" s="30">
        <f t="shared" ref="S12:AC12" si="15">S13</f>
        <v>1000000</v>
      </c>
      <c r="T12" s="30">
        <f t="shared" si="15"/>
        <v>1000000</v>
      </c>
      <c r="U12" s="30">
        <f t="shared" si="15"/>
        <v>1000000</v>
      </c>
      <c r="V12" s="30">
        <f t="shared" si="15"/>
        <v>1000000</v>
      </c>
      <c r="W12" s="30">
        <f t="shared" si="15"/>
        <v>0</v>
      </c>
      <c r="X12" s="30">
        <f t="shared" si="15"/>
        <v>0</v>
      </c>
      <c r="Y12" s="30">
        <f t="shared" si="15"/>
        <v>0</v>
      </c>
      <c r="Z12" s="30">
        <f t="shared" si="15"/>
        <v>0</v>
      </c>
      <c r="AA12" s="30">
        <f t="shared" si="15"/>
        <v>0</v>
      </c>
      <c r="AB12" s="30">
        <f t="shared" si="15"/>
        <v>0</v>
      </c>
      <c r="AC12" s="30">
        <f t="shared" si="15"/>
        <v>0</v>
      </c>
      <c r="AD12" s="147"/>
      <c r="AE12" s="257"/>
      <c r="AF12" s="257"/>
      <c r="AG12" s="257"/>
      <c r="AH12" s="257"/>
      <c r="AI12" s="257"/>
      <c r="AJ12" s="258"/>
    </row>
    <row r="13" spans="1:36" x14ac:dyDescent="0.25">
      <c r="B13" s="27" t="s">
        <v>35</v>
      </c>
      <c r="C13" s="27" t="s">
        <v>0</v>
      </c>
      <c r="D13" s="27" t="s">
        <v>36</v>
      </c>
      <c r="E13" s="27"/>
      <c r="F13" s="27"/>
      <c r="G13" s="27"/>
      <c r="H13" s="28">
        <v>1000000</v>
      </c>
      <c r="I13" s="28"/>
      <c r="J13" s="28">
        <f t="shared" si="6"/>
        <v>1000000</v>
      </c>
      <c r="K13" s="28"/>
      <c r="L13" s="28">
        <f t="shared" si="7"/>
        <v>1000000</v>
      </c>
      <c r="M13" s="28">
        <v>1000000</v>
      </c>
      <c r="N13" s="28"/>
      <c r="O13" s="28"/>
      <c r="P13" s="28">
        <f t="shared" si="4"/>
        <v>1000000</v>
      </c>
      <c r="Q13" s="28"/>
      <c r="R13" s="28">
        <f t="shared" si="8"/>
        <v>1000000</v>
      </c>
      <c r="S13" s="235">
        <v>1000000</v>
      </c>
      <c r="T13" s="235">
        <v>1000000</v>
      </c>
      <c r="U13" s="235">
        <v>1000000</v>
      </c>
      <c r="V13" s="235">
        <v>1000000</v>
      </c>
      <c r="W13" s="235"/>
      <c r="X13" s="28"/>
      <c r="Y13" s="28"/>
      <c r="Z13" s="28"/>
      <c r="AA13" s="28"/>
      <c r="AB13" s="28"/>
      <c r="AC13" s="28"/>
      <c r="AD13" s="64"/>
      <c r="AE13" s="257"/>
      <c r="AF13" s="257"/>
      <c r="AG13" s="257"/>
      <c r="AH13" s="257"/>
      <c r="AI13" s="257"/>
      <c r="AJ13" s="258"/>
    </row>
    <row r="14" spans="1:36" x14ac:dyDescent="0.25">
      <c r="B14" s="29" t="s">
        <v>4</v>
      </c>
      <c r="C14" s="29" t="s">
        <v>3</v>
      </c>
      <c r="D14" s="29"/>
      <c r="E14" s="29"/>
      <c r="F14" s="29"/>
      <c r="G14" s="29"/>
      <c r="H14" s="30">
        <f>SUM(H15:H37)-H15-H18-SUM(H27:H27)-H23-H24-H31</f>
        <v>252959332</v>
      </c>
      <c r="I14" s="30">
        <f>SUM(I15:I37)-I15-I18-SUM(I27:I27)-I23-I24-I31</f>
        <v>9441237</v>
      </c>
      <c r="J14" s="30">
        <f t="shared" si="6"/>
        <v>262400569</v>
      </c>
      <c r="K14" s="30">
        <f>SUM(K15:K37)-K15-K18-SUM(K27:K27)-K23-K24-K31</f>
        <v>49610000</v>
      </c>
      <c r="L14" s="30">
        <f t="shared" si="7"/>
        <v>312010569</v>
      </c>
      <c r="M14" s="30">
        <f>SUM(M15:M37)-M15-M18-SUM(M27:M27)-M23-M24</f>
        <v>59891754</v>
      </c>
      <c r="N14" s="30">
        <f>SUM(N15:N37)-N15-N18-SUM(N27:N27)-N23-N24-N31</f>
        <v>-9151492</v>
      </c>
      <c r="O14" s="30">
        <f>SUM(O15:O37)-O15-O18-SUM(O27:O27)-O23-O24-O31</f>
        <v>15160007</v>
      </c>
      <c r="P14" s="30">
        <f t="shared" si="4"/>
        <v>65900269</v>
      </c>
      <c r="Q14" s="30"/>
      <c r="R14" s="30">
        <f t="shared" si="8"/>
        <v>65900269</v>
      </c>
      <c r="S14" s="30">
        <f t="shared" ref="S14:V14" si="16">SUM(S15:S37)-S15-S18-SUM(S27:S27)-S23-S24-S31</f>
        <v>65386025</v>
      </c>
      <c r="T14" s="30">
        <f t="shared" si="16"/>
        <v>84253404</v>
      </c>
      <c r="U14" s="30">
        <f t="shared" si="16"/>
        <v>35945037</v>
      </c>
      <c r="V14" s="30">
        <f t="shared" si="16"/>
        <v>22350000</v>
      </c>
      <c r="W14" s="30">
        <f t="shared" ref="W14" si="17">SUM(W15:W37)-W15-W18-SUM(W27:W27)-W23-W24-W31</f>
        <v>6452760</v>
      </c>
      <c r="X14" s="30">
        <f t="shared" ref="X14" si="18">SUM(X15:X37)-X15-X18-SUM(X27:X27)-X23-X24-X31</f>
        <v>180231800</v>
      </c>
      <c r="Y14" s="30">
        <f t="shared" ref="Y14" si="19">SUM(Y15:Y37)-Y15-Y18-SUM(Y27:Y27)-Y23-Y24-Y31</f>
        <v>12280000</v>
      </c>
      <c r="Z14" s="30">
        <f t="shared" ref="Z14" si="20">SUM(Z15:Z37)-Z15-Z18-SUM(Z27:Z27)-Z23-Z24-Z31</f>
        <v>5523440</v>
      </c>
      <c r="AA14" s="30"/>
      <c r="AB14" s="30"/>
      <c r="AC14" s="30"/>
      <c r="AD14" s="147"/>
      <c r="AE14" s="257"/>
      <c r="AF14" s="257"/>
      <c r="AG14" s="257"/>
      <c r="AH14" s="257"/>
      <c r="AI14" s="257"/>
      <c r="AJ14" s="258"/>
    </row>
    <row r="15" spans="1:36" s="1" customFormat="1" ht="81.599999999999994" x14ac:dyDescent="0.25">
      <c r="B15" s="31" t="s">
        <v>9</v>
      </c>
      <c r="C15" s="31" t="s">
        <v>3</v>
      </c>
      <c r="D15" s="31" t="s">
        <v>37</v>
      </c>
      <c r="E15" s="31"/>
      <c r="F15" s="31" t="s">
        <v>288</v>
      </c>
      <c r="G15" s="124">
        <v>2025</v>
      </c>
      <c r="H15" s="32">
        <f>SUM(H16:H17)</f>
        <v>12800000</v>
      </c>
      <c r="I15" s="32">
        <v>0</v>
      </c>
      <c r="J15" s="32">
        <f>H15+I15</f>
        <v>12800000</v>
      </c>
      <c r="K15" s="32">
        <f>SUM(K16:K17)</f>
        <v>5400000</v>
      </c>
      <c r="L15" s="32">
        <f t="shared" si="7"/>
        <v>18200000</v>
      </c>
      <c r="M15" s="32">
        <f>M16+M17</f>
        <v>400000</v>
      </c>
      <c r="N15" s="32">
        <f>SUM(N16:N17)</f>
        <v>0</v>
      </c>
      <c r="O15" s="32">
        <f>SUM(O16:O17)</f>
        <v>250000</v>
      </c>
      <c r="P15" s="32">
        <f t="shared" si="4"/>
        <v>650000</v>
      </c>
      <c r="Q15" s="32"/>
      <c r="R15" s="32">
        <f t="shared" si="8"/>
        <v>650000</v>
      </c>
      <c r="S15" s="32">
        <f t="shared" ref="S15:U15" si="21">SUM(S16:S17)</f>
        <v>6000000</v>
      </c>
      <c r="T15" s="32">
        <f t="shared" si="21"/>
        <v>11000000</v>
      </c>
      <c r="U15" s="32">
        <f t="shared" si="21"/>
        <v>800000</v>
      </c>
      <c r="V15" s="32"/>
      <c r="W15" s="33">
        <v>800000</v>
      </c>
      <c r="X15" s="33">
        <f>L15-Y15-Z15-W15</f>
        <v>16600000</v>
      </c>
      <c r="Y15" s="33">
        <v>600000</v>
      </c>
      <c r="Z15" s="33">
        <v>200000</v>
      </c>
      <c r="AA15" s="125" t="s">
        <v>289</v>
      </c>
      <c r="AB15" s="125" t="s">
        <v>290</v>
      </c>
      <c r="AC15" s="125" t="s">
        <v>291</v>
      </c>
      <c r="AD15" s="36" t="s">
        <v>292</v>
      </c>
      <c r="AE15" s="259"/>
      <c r="AF15" s="260"/>
      <c r="AG15" s="260"/>
      <c r="AH15" s="260"/>
      <c r="AI15" s="260"/>
      <c r="AJ15" s="258"/>
    </row>
    <row r="16" spans="1:36" s="1" customFormat="1" x14ac:dyDescent="0.25">
      <c r="B16" s="31"/>
      <c r="C16" s="31" t="s">
        <v>0</v>
      </c>
      <c r="D16" s="31"/>
      <c r="E16" s="31"/>
      <c r="F16" s="31"/>
      <c r="G16" s="124"/>
      <c r="H16" s="32">
        <v>5270000</v>
      </c>
      <c r="I16" s="32">
        <v>0</v>
      </c>
      <c r="J16" s="32">
        <f>H16+I16</f>
        <v>5270000</v>
      </c>
      <c r="K16" s="32">
        <v>5400000</v>
      </c>
      <c r="L16" s="32">
        <f>J16+K16</f>
        <v>10670000</v>
      </c>
      <c r="M16" s="32">
        <v>280000</v>
      </c>
      <c r="N16" s="126">
        <v>120000</v>
      </c>
      <c r="O16" s="32">
        <v>250000</v>
      </c>
      <c r="P16" s="32">
        <f t="shared" si="4"/>
        <v>650000</v>
      </c>
      <c r="Q16" s="32"/>
      <c r="R16" s="32">
        <f>P16+Q16</f>
        <v>650000</v>
      </c>
      <c r="S16" s="32">
        <v>3500000</v>
      </c>
      <c r="T16" s="32">
        <v>6420000</v>
      </c>
      <c r="U16" s="32">
        <v>470000</v>
      </c>
      <c r="V16" s="32"/>
      <c r="W16" s="32"/>
      <c r="X16" s="32"/>
      <c r="Y16" s="32"/>
      <c r="Z16" s="32"/>
      <c r="AA16" s="36"/>
      <c r="AB16" s="36"/>
      <c r="AC16" s="36"/>
      <c r="AD16" s="36"/>
      <c r="AE16" s="259"/>
      <c r="AF16" s="260"/>
      <c r="AG16" s="260"/>
      <c r="AH16" s="260"/>
      <c r="AI16" s="260"/>
      <c r="AJ16" s="258"/>
    </row>
    <row r="17" spans="2:36" s="1" customFormat="1" x14ac:dyDescent="0.25">
      <c r="B17" s="31"/>
      <c r="C17" s="31" t="s">
        <v>33</v>
      </c>
      <c r="D17" s="31"/>
      <c r="E17" s="31"/>
      <c r="F17" s="31"/>
      <c r="G17" s="124"/>
      <c r="H17" s="32">
        <v>7530000</v>
      </c>
      <c r="I17" s="32">
        <v>0</v>
      </c>
      <c r="J17" s="32">
        <f t="shared" si="6"/>
        <v>7530000</v>
      </c>
      <c r="K17" s="32"/>
      <c r="L17" s="32">
        <f t="shared" si="7"/>
        <v>7530000</v>
      </c>
      <c r="M17" s="32">
        <v>120000</v>
      </c>
      <c r="N17" s="126">
        <v>-120000</v>
      </c>
      <c r="O17" s="32"/>
      <c r="P17" s="32">
        <f t="shared" si="4"/>
        <v>0</v>
      </c>
      <c r="Q17" s="32"/>
      <c r="R17" s="32">
        <f t="shared" si="8"/>
        <v>0</v>
      </c>
      <c r="S17" s="32">
        <v>2500000</v>
      </c>
      <c r="T17" s="32">
        <v>4580000</v>
      </c>
      <c r="U17" s="32">
        <v>330000</v>
      </c>
      <c r="V17" s="32"/>
      <c r="W17" s="32"/>
      <c r="X17" s="32"/>
      <c r="Y17" s="32"/>
      <c r="Z17" s="32"/>
      <c r="AA17" s="36"/>
      <c r="AB17" s="36"/>
      <c r="AC17" s="36"/>
      <c r="AD17" s="36"/>
      <c r="AE17" s="259"/>
      <c r="AF17" s="260"/>
      <c r="AG17" s="260"/>
      <c r="AH17" s="260"/>
      <c r="AI17" s="260"/>
      <c r="AJ17" s="258"/>
    </row>
    <row r="18" spans="2:36" s="1" customFormat="1" ht="61.2" x14ac:dyDescent="0.25">
      <c r="B18" s="31" t="s">
        <v>10</v>
      </c>
      <c r="C18" s="31" t="s">
        <v>3</v>
      </c>
      <c r="D18" s="31" t="s">
        <v>37</v>
      </c>
      <c r="E18" s="31"/>
      <c r="F18" s="31" t="s">
        <v>288</v>
      </c>
      <c r="G18" s="124">
        <v>2025</v>
      </c>
      <c r="H18" s="32">
        <f>SUM(H19:H20)</f>
        <v>12400000</v>
      </c>
      <c r="I18" s="32">
        <v>0</v>
      </c>
      <c r="J18" s="32">
        <f t="shared" si="6"/>
        <v>12400000</v>
      </c>
      <c r="K18" s="32">
        <f>SUM(K19:K20)</f>
        <v>9300000</v>
      </c>
      <c r="L18" s="32">
        <f t="shared" si="7"/>
        <v>21700000</v>
      </c>
      <c r="M18" s="32">
        <f>M19+M20</f>
        <v>400000</v>
      </c>
      <c r="N18" s="32">
        <f>SUM(N19:N20)</f>
        <v>0</v>
      </c>
      <c r="O18" s="32">
        <f>SUM(O19:O20)</f>
        <v>250000</v>
      </c>
      <c r="P18" s="32">
        <f t="shared" si="4"/>
        <v>650000</v>
      </c>
      <c r="Q18" s="32"/>
      <c r="R18" s="32">
        <f t="shared" si="8"/>
        <v>650000</v>
      </c>
      <c r="S18" s="32">
        <f t="shared" ref="S18:U18" si="22">SUM(S19:S20)</f>
        <v>800000</v>
      </c>
      <c r="T18" s="32">
        <f t="shared" si="22"/>
        <v>19750000</v>
      </c>
      <c r="U18" s="32">
        <f t="shared" si="22"/>
        <v>500000</v>
      </c>
      <c r="V18" s="32"/>
      <c r="W18" s="32">
        <v>1000000</v>
      </c>
      <c r="X18" s="32">
        <f>L18-W18-Y18-Z18</f>
        <v>19850000</v>
      </c>
      <c r="Y18" s="32">
        <v>600000</v>
      </c>
      <c r="Z18" s="32">
        <v>250000</v>
      </c>
      <c r="AA18" s="125" t="s">
        <v>289</v>
      </c>
      <c r="AB18" s="125" t="s">
        <v>290</v>
      </c>
      <c r="AC18" s="125" t="s">
        <v>291</v>
      </c>
      <c r="AD18" s="36" t="s">
        <v>293</v>
      </c>
      <c r="AE18" s="259"/>
      <c r="AF18" s="260"/>
      <c r="AG18" s="260"/>
      <c r="AH18" s="260"/>
      <c r="AI18" s="260"/>
      <c r="AJ18" s="258"/>
    </row>
    <row r="19" spans="2:36" s="1" customFormat="1" x14ac:dyDescent="0.25">
      <c r="B19" s="31"/>
      <c r="C19" s="31" t="s">
        <v>0</v>
      </c>
      <c r="D19" s="31"/>
      <c r="E19" s="31"/>
      <c r="F19" s="31"/>
      <c r="G19" s="124"/>
      <c r="H19" s="32">
        <v>5110000</v>
      </c>
      <c r="I19" s="32">
        <v>0</v>
      </c>
      <c r="J19" s="32">
        <f t="shared" si="6"/>
        <v>5110000</v>
      </c>
      <c r="K19" s="32">
        <v>9300000</v>
      </c>
      <c r="L19" s="32">
        <f t="shared" si="7"/>
        <v>14410000</v>
      </c>
      <c r="M19" s="32">
        <v>280000</v>
      </c>
      <c r="N19" s="126">
        <v>120000</v>
      </c>
      <c r="O19" s="32">
        <v>250000</v>
      </c>
      <c r="P19" s="32">
        <f t="shared" si="4"/>
        <v>650000</v>
      </c>
      <c r="Q19" s="32"/>
      <c r="R19" s="32">
        <f t="shared" si="8"/>
        <v>650000</v>
      </c>
      <c r="S19" s="32">
        <v>530000</v>
      </c>
      <c r="T19" s="32">
        <v>13020000</v>
      </c>
      <c r="U19" s="32">
        <v>330000</v>
      </c>
      <c r="V19" s="32"/>
      <c r="W19" s="32"/>
      <c r="X19" s="32"/>
      <c r="Y19" s="32"/>
      <c r="Z19" s="32"/>
      <c r="AA19" s="36"/>
      <c r="AB19" s="36"/>
      <c r="AC19" s="36"/>
      <c r="AD19" s="36"/>
      <c r="AE19" s="259"/>
      <c r="AF19" s="260"/>
      <c r="AG19" s="260"/>
      <c r="AH19" s="260"/>
      <c r="AI19" s="260"/>
      <c r="AJ19" s="258"/>
    </row>
    <row r="20" spans="2:36" s="1" customFormat="1" x14ac:dyDescent="0.25">
      <c r="B20" s="31"/>
      <c r="C20" s="31" t="s">
        <v>33</v>
      </c>
      <c r="D20" s="31"/>
      <c r="E20" s="31"/>
      <c r="F20" s="31"/>
      <c r="G20" s="124"/>
      <c r="H20" s="32">
        <v>7290000</v>
      </c>
      <c r="I20" s="32">
        <v>0</v>
      </c>
      <c r="J20" s="32">
        <f t="shared" si="6"/>
        <v>7290000</v>
      </c>
      <c r="K20" s="32"/>
      <c r="L20" s="32">
        <f t="shared" si="7"/>
        <v>7290000</v>
      </c>
      <c r="M20" s="32">
        <v>120000</v>
      </c>
      <c r="N20" s="126">
        <v>-120000</v>
      </c>
      <c r="O20" s="32"/>
      <c r="P20" s="32">
        <f t="shared" si="4"/>
        <v>0</v>
      </c>
      <c r="Q20" s="32"/>
      <c r="R20" s="32">
        <f t="shared" si="8"/>
        <v>0</v>
      </c>
      <c r="S20" s="32">
        <v>270000</v>
      </c>
      <c r="T20" s="32">
        <v>6730000</v>
      </c>
      <c r="U20" s="32">
        <v>170000</v>
      </c>
      <c r="V20" s="32"/>
      <c r="W20" s="32"/>
      <c r="X20" s="32"/>
      <c r="Y20" s="32"/>
      <c r="Z20" s="32"/>
      <c r="AA20" s="36"/>
      <c r="AB20" s="36"/>
      <c r="AC20" s="36"/>
      <c r="AD20" s="36"/>
      <c r="AE20" s="259"/>
      <c r="AF20" s="260"/>
      <c r="AG20" s="260"/>
      <c r="AH20" s="260"/>
      <c r="AI20" s="260"/>
      <c r="AJ20" s="258"/>
    </row>
    <row r="21" spans="2:36" s="1" customFormat="1" ht="71.400000000000006" x14ac:dyDescent="0.25">
      <c r="B21" s="31" t="s">
        <v>40</v>
      </c>
      <c r="C21" s="31" t="s">
        <v>0</v>
      </c>
      <c r="D21" s="31" t="s">
        <v>37</v>
      </c>
      <c r="E21" s="31"/>
      <c r="F21" s="31" t="s">
        <v>294</v>
      </c>
      <c r="G21" s="124">
        <v>2025</v>
      </c>
      <c r="H21" s="32">
        <v>400000</v>
      </c>
      <c r="I21" s="32">
        <v>0</v>
      </c>
      <c r="J21" s="32">
        <f t="shared" si="6"/>
        <v>400000</v>
      </c>
      <c r="K21" s="32">
        <v>18000000</v>
      </c>
      <c r="L21" s="32">
        <f t="shared" si="7"/>
        <v>18400000</v>
      </c>
      <c r="M21" s="32">
        <v>200000</v>
      </c>
      <c r="N21" s="32">
        <v>0</v>
      </c>
      <c r="O21" s="32"/>
      <c r="P21" s="32">
        <f t="shared" si="4"/>
        <v>200000</v>
      </c>
      <c r="Q21" s="32"/>
      <c r="R21" s="32">
        <f t="shared" si="8"/>
        <v>200000</v>
      </c>
      <c r="S21" s="32">
        <v>200000</v>
      </c>
      <c r="T21" s="32">
        <v>10000000</v>
      </c>
      <c r="U21" s="32">
        <v>8000000</v>
      </c>
      <c r="V21" s="32"/>
      <c r="W21" s="32">
        <v>400000</v>
      </c>
      <c r="X21" s="32">
        <v>17200000</v>
      </c>
      <c r="Y21" s="32">
        <v>500000</v>
      </c>
      <c r="Z21" s="32">
        <v>300000</v>
      </c>
      <c r="AA21" s="36" t="s">
        <v>295</v>
      </c>
      <c r="AB21" s="36" t="s">
        <v>296</v>
      </c>
      <c r="AC21" s="36" t="s">
        <v>297</v>
      </c>
      <c r="AD21" s="36" t="s">
        <v>298</v>
      </c>
      <c r="AE21" s="259"/>
      <c r="AF21" s="260"/>
      <c r="AG21" s="260"/>
      <c r="AH21" s="260"/>
      <c r="AI21" s="260"/>
      <c r="AJ21" s="258"/>
    </row>
    <row r="22" spans="2:36" s="1" customFormat="1" x14ac:dyDescent="0.25">
      <c r="B22" s="31" t="s">
        <v>41</v>
      </c>
      <c r="C22" s="31" t="s">
        <v>3</v>
      </c>
      <c r="D22" s="31" t="s">
        <v>42</v>
      </c>
      <c r="E22" s="31"/>
      <c r="F22" s="31"/>
      <c r="G22" s="124"/>
      <c r="H22" s="32">
        <f>H23+H24</f>
        <v>1464534</v>
      </c>
      <c r="I22" s="32">
        <v>0</v>
      </c>
      <c r="J22" s="32">
        <f t="shared" si="6"/>
        <v>1464534</v>
      </c>
      <c r="K22" s="32"/>
      <c r="L22" s="32">
        <f t="shared" si="7"/>
        <v>1464534</v>
      </c>
      <c r="M22" s="32">
        <f>M23+M24</f>
        <v>1464534</v>
      </c>
      <c r="N22" s="32">
        <v>0</v>
      </c>
      <c r="O22" s="32"/>
      <c r="P22" s="32">
        <f t="shared" si="4"/>
        <v>1464534</v>
      </c>
      <c r="Q22" s="32"/>
      <c r="R22" s="32">
        <f t="shared" si="8"/>
        <v>1464534</v>
      </c>
      <c r="S22" s="32"/>
      <c r="T22" s="32"/>
      <c r="U22" s="32"/>
      <c r="V22" s="32"/>
      <c r="W22" s="32"/>
      <c r="X22" s="32"/>
      <c r="Y22" s="32"/>
      <c r="Z22" s="32"/>
      <c r="AA22" s="36"/>
      <c r="AB22" s="36"/>
      <c r="AC22" s="36"/>
      <c r="AD22" s="36"/>
      <c r="AE22" s="259"/>
      <c r="AF22" s="260"/>
      <c r="AG22" s="260"/>
      <c r="AH22" s="260"/>
      <c r="AI22" s="260"/>
      <c r="AJ22" s="258"/>
    </row>
    <row r="23" spans="2:36" s="1" customFormat="1" x14ac:dyDescent="0.25">
      <c r="B23" s="31"/>
      <c r="C23" s="31" t="s">
        <v>0</v>
      </c>
      <c r="D23" s="31"/>
      <c r="E23" s="31"/>
      <c r="F23" s="31"/>
      <c r="G23" s="124"/>
      <c r="H23" s="32">
        <v>630000</v>
      </c>
      <c r="I23" s="32">
        <v>0</v>
      </c>
      <c r="J23" s="32">
        <f t="shared" si="6"/>
        <v>630000</v>
      </c>
      <c r="K23" s="32"/>
      <c r="L23" s="32">
        <f t="shared" si="7"/>
        <v>630000</v>
      </c>
      <c r="M23" s="32">
        <v>630000</v>
      </c>
      <c r="N23" s="32">
        <v>0</v>
      </c>
      <c r="O23" s="32"/>
      <c r="P23" s="32">
        <f t="shared" si="4"/>
        <v>630000</v>
      </c>
      <c r="Q23" s="32"/>
      <c r="R23" s="32">
        <f t="shared" si="8"/>
        <v>630000</v>
      </c>
      <c r="S23" s="32"/>
      <c r="T23" s="32"/>
      <c r="U23" s="32"/>
      <c r="V23" s="32"/>
      <c r="W23" s="32"/>
      <c r="X23" s="32"/>
      <c r="Y23" s="32"/>
      <c r="Z23" s="32"/>
      <c r="AA23" s="36"/>
      <c r="AB23" s="36"/>
      <c r="AC23" s="36"/>
      <c r="AD23" s="36"/>
      <c r="AE23" s="259"/>
      <c r="AF23" s="260"/>
      <c r="AG23" s="260"/>
      <c r="AH23" s="260"/>
      <c r="AI23" s="260"/>
      <c r="AJ23" s="258"/>
    </row>
    <row r="24" spans="2:36" s="1" customFormat="1" x14ac:dyDescent="0.25">
      <c r="B24" s="31"/>
      <c r="C24" s="31" t="s">
        <v>31</v>
      </c>
      <c r="D24" s="31"/>
      <c r="E24" s="31"/>
      <c r="F24" s="31"/>
      <c r="G24" s="124"/>
      <c r="H24" s="32">
        <v>834534</v>
      </c>
      <c r="I24" s="32">
        <v>0</v>
      </c>
      <c r="J24" s="32">
        <f t="shared" si="6"/>
        <v>834534</v>
      </c>
      <c r="K24" s="32"/>
      <c r="L24" s="32">
        <f t="shared" si="7"/>
        <v>834534</v>
      </c>
      <c r="M24" s="32">
        <v>834534</v>
      </c>
      <c r="N24" s="32">
        <v>0</v>
      </c>
      <c r="O24" s="32"/>
      <c r="P24" s="32">
        <f t="shared" si="4"/>
        <v>834534</v>
      </c>
      <c r="Q24" s="32"/>
      <c r="R24" s="32">
        <f t="shared" si="8"/>
        <v>834534</v>
      </c>
      <c r="S24" s="32"/>
      <c r="T24" s="32"/>
      <c r="U24" s="32"/>
      <c r="V24" s="32"/>
      <c r="W24" s="32"/>
      <c r="X24" s="32"/>
      <c r="Y24" s="32"/>
      <c r="Z24" s="32"/>
      <c r="AA24" s="36"/>
      <c r="AB24" s="36"/>
      <c r="AC24" s="36"/>
      <c r="AD24" s="36"/>
      <c r="AE24" s="259"/>
      <c r="AF24" s="260"/>
      <c r="AG24" s="260"/>
      <c r="AH24" s="260"/>
      <c r="AI24" s="260"/>
      <c r="AJ24" s="258"/>
    </row>
    <row r="25" spans="2:36" s="1" customFormat="1" ht="61.2" x14ac:dyDescent="0.25">
      <c r="B25" s="31" t="s">
        <v>43</v>
      </c>
      <c r="C25" s="31" t="s">
        <v>0</v>
      </c>
      <c r="D25" s="31" t="s">
        <v>42</v>
      </c>
      <c r="E25" s="31"/>
      <c r="F25" s="31"/>
      <c r="G25" s="124"/>
      <c r="H25" s="32">
        <v>1157000</v>
      </c>
      <c r="I25" s="32">
        <v>252025</v>
      </c>
      <c r="J25" s="32">
        <f t="shared" si="6"/>
        <v>1409025</v>
      </c>
      <c r="K25" s="32"/>
      <c r="L25" s="32">
        <f t="shared" si="7"/>
        <v>1409025</v>
      </c>
      <c r="M25" s="32">
        <v>578500</v>
      </c>
      <c r="N25" s="32">
        <v>585460</v>
      </c>
      <c r="O25" s="32"/>
      <c r="P25" s="32">
        <f t="shared" si="4"/>
        <v>1163960</v>
      </c>
      <c r="Q25" s="32"/>
      <c r="R25" s="32">
        <f t="shared" si="8"/>
        <v>1163960</v>
      </c>
      <c r="S25" s="32"/>
      <c r="T25" s="32"/>
      <c r="U25" s="32"/>
      <c r="V25" s="32"/>
      <c r="W25" s="32"/>
      <c r="X25" s="32"/>
      <c r="Y25" s="32"/>
      <c r="Z25" s="32"/>
      <c r="AA25" s="36"/>
      <c r="AB25" s="36"/>
      <c r="AC25" s="36"/>
      <c r="AD25" s="36" t="s">
        <v>299</v>
      </c>
      <c r="AE25" s="259"/>
      <c r="AF25" s="260"/>
      <c r="AG25" s="260"/>
      <c r="AH25" s="260"/>
      <c r="AI25" s="260"/>
      <c r="AJ25" s="258"/>
    </row>
    <row r="26" spans="2:36" s="1" customFormat="1" x14ac:dyDescent="0.25">
      <c r="B26" s="31" t="s">
        <v>44</v>
      </c>
      <c r="C26" s="31"/>
      <c r="D26" s="31"/>
      <c r="E26" s="31"/>
      <c r="F26" s="31"/>
      <c r="G26" s="124"/>
      <c r="H26" s="32">
        <f>SUM(H27:H27)</f>
        <v>300000</v>
      </c>
      <c r="I26" s="32">
        <v>0</v>
      </c>
      <c r="J26" s="32">
        <f t="shared" si="6"/>
        <v>300000</v>
      </c>
      <c r="K26" s="32"/>
      <c r="L26" s="32">
        <f t="shared" si="7"/>
        <v>300000</v>
      </c>
      <c r="M26" s="32">
        <f>SUM(M27:M27)</f>
        <v>300000</v>
      </c>
      <c r="N26" s="32">
        <v>0</v>
      </c>
      <c r="O26" s="32"/>
      <c r="P26" s="32">
        <f t="shared" si="4"/>
        <v>300000</v>
      </c>
      <c r="Q26" s="32"/>
      <c r="R26" s="32">
        <f t="shared" si="8"/>
        <v>300000</v>
      </c>
      <c r="S26" s="32"/>
      <c r="T26" s="32"/>
      <c r="U26" s="32"/>
      <c r="V26" s="32"/>
      <c r="W26" s="32"/>
      <c r="X26" s="32"/>
      <c r="Y26" s="32"/>
      <c r="Z26" s="32"/>
      <c r="AA26" s="36"/>
      <c r="AB26" s="36"/>
      <c r="AC26" s="36"/>
      <c r="AD26" s="36"/>
      <c r="AE26" s="259"/>
      <c r="AF26" s="260"/>
      <c r="AG26" s="260"/>
      <c r="AH26" s="260"/>
      <c r="AI26" s="260"/>
      <c r="AJ26" s="258"/>
    </row>
    <row r="27" spans="2:36" s="37" customFormat="1" ht="20.399999999999999" x14ac:dyDescent="0.25">
      <c r="B27" s="34" t="s">
        <v>45</v>
      </c>
      <c r="C27" s="35" t="s">
        <v>0</v>
      </c>
      <c r="D27" s="35" t="s">
        <v>42</v>
      </c>
      <c r="E27" s="35"/>
      <c r="F27" s="35"/>
      <c r="G27" s="127"/>
      <c r="H27" s="36">
        <v>300000</v>
      </c>
      <c r="I27" s="36">
        <v>0</v>
      </c>
      <c r="J27" s="36">
        <f t="shared" si="6"/>
        <v>300000</v>
      </c>
      <c r="K27" s="36"/>
      <c r="L27" s="36">
        <f t="shared" si="7"/>
        <v>300000</v>
      </c>
      <c r="M27" s="36">
        <v>300000</v>
      </c>
      <c r="N27" s="36">
        <v>0</v>
      </c>
      <c r="O27" s="36"/>
      <c r="P27" s="36">
        <f t="shared" si="4"/>
        <v>300000</v>
      </c>
      <c r="Q27" s="36"/>
      <c r="R27" s="36">
        <f t="shared" si="8"/>
        <v>300000</v>
      </c>
      <c r="S27" s="36"/>
      <c r="T27" s="36"/>
      <c r="U27" s="99"/>
      <c r="V27" s="36"/>
      <c r="W27" s="36"/>
      <c r="X27" s="36"/>
      <c r="Y27" s="36"/>
      <c r="Z27" s="36"/>
      <c r="AA27" s="36"/>
      <c r="AB27" s="36"/>
      <c r="AC27" s="36"/>
      <c r="AD27" s="36"/>
      <c r="AE27" s="259"/>
      <c r="AF27" s="261"/>
      <c r="AG27" s="261"/>
      <c r="AH27" s="261"/>
      <c r="AI27" s="261"/>
      <c r="AJ27" s="258"/>
    </row>
    <row r="28" spans="2:36" ht="51" x14ac:dyDescent="0.25">
      <c r="B28" s="31" t="s">
        <v>46</v>
      </c>
      <c r="C28" s="31" t="s">
        <v>0</v>
      </c>
      <c r="D28" s="31" t="s">
        <v>37</v>
      </c>
      <c r="E28" s="31"/>
      <c r="F28" s="31" t="s">
        <v>300</v>
      </c>
      <c r="G28" s="124">
        <v>2023</v>
      </c>
      <c r="H28" s="32">
        <v>7917000</v>
      </c>
      <c r="I28" s="32">
        <v>0</v>
      </c>
      <c r="J28" s="32">
        <f t="shared" si="6"/>
        <v>7917000</v>
      </c>
      <c r="K28" s="32"/>
      <c r="L28" s="32">
        <f t="shared" si="7"/>
        <v>7917000</v>
      </c>
      <c r="M28" s="32">
        <v>6836000</v>
      </c>
      <c r="N28" s="32">
        <v>-800000</v>
      </c>
      <c r="O28" s="32">
        <v>703126</v>
      </c>
      <c r="P28" s="32">
        <f t="shared" si="4"/>
        <v>6739126</v>
      </c>
      <c r="Q28" s="32"/>
      <c r="R28" s="32">
        <f t="shared" si="8"/>
        <v>6739126</v>
      </c>
      <c r="S28" s="32">
        <v>800000</v>
      </c>
      <c r="U28" s="128"/>
      <c r="V28" s="129"/>
      <c r="W28" s="130">
        <v>269400</v>
      </c>
      <c r="X28" s="130">
        <v>6311600</v>
      </c>
      <c r="Y28" s="130">
        <v>720000</v>
      </c>
      <c r="Z28" s="130">
        <v>416000</v>
      </c>
      <c r="AA28" s="131" t="s">
        <v>301</v>
      </c>
      <c r="AB28" s="131" t="s">
        <v>302</v>
      </c>
      <c r="AC28" s="132" t="s">
        <v>303</v>
      </c>
      <c r="AD28" s="36" t="s">
        <v>304</v>
      </c>
      <c r="AE28" s="259"/>
      <c r="AF28" s="257"/>
      <c r="AG28" s="257"/>
      <c r="AH28" s="257"/>
      <c r="AI28" s="257"/>
      <c r="AJ28" s="258"/>
    </row>
    <row r="29" spans="2:36" s="1" customFormat="1" ht="71.400000000000006" x14ac:dyDescent="0.25">
      <c r="B29" s="31" t="s">
        <v>47</v>
      </c>
      <c r="C29" s="31" t="s">
        <v>0</v>
      </c>
      <c r="D29" s="31" t="s">
        <v>37</v>
      </c>
      <c r="E29" s="31"/>
      <c r="F29" s="31" t="s">
        <v>300</v>
      </c>
      <c r="G29" s="124">
        <v>2025</v>
      </c>
      <c r="H29" s="32">
        <v>22600000</v>
      </c>
      <c r="I29" s="32">
        <v>0</v>
      </c>
      <c r="J29" s="32">
        <f t="shared" si="6"/>
        <v>22600000</v>
      </c>
      <c r="K29" s="32">
        <v>1400000</v>
      </c>
      <c r="L29" s="32">
        <f t="shared" si="7"/>
        <v>24000000</v>
      </c>
      <c r="M29" s="32">
        <v>950000</v>
      </c>
      <c r="N29" s="32">
        <v>-500000</v>
      </c>
      <c r="O29" s="32">
        <v>74860</v>
      </c>
      <c r="P29" s="32">
        <f t="shared" si="4"/>
        <v>524860</v>
      </c>
      <c r="Q29" s="32"/>
      <c r="R29" s="32">
        <f t="shared" si="8"/>
        <v>524860</v>
      </c>
      <c r="S29" s="32">
        <v>8500000</v>
      </c>
      <c r="T29" s="32">
        <v>12600000</v>
      </c>
      <c r="U29" s="133">
        <v>1850000</v>
      </c>
      <c r="V29" s="32"/>
      <c r="W29" s="132">
        <v>1260000</v>
      </c>
      <c r="X29" s="132">
        <v>18750000</v>
      </c>
      <c r="Y29" s="132">
        <v>3500000</v>
      </c>
      <c r="Z29" s="132">
        <v>400000</v>
      </c>
      <c r="AA29" s="134" t="s">
        <v>289</v>
      </c>
      <c r="AB29" s="134" t="s">
        <v>305</v>
      </c>
      <c r="AC29" s="134" t="s">
        <v>291</v>
      </c>
      <c r="AD29" s="36" t="s">
        <v>306</v>
      </c>
      <c r="AE29" s="259"/>
      <c r="AF29" s="260"/>
      <c r="AG29" s="260"/>
      <c r="AH29" s="260"/>
      <c r="AI29" s="260"/>
      <c r="AJ29" s="258"/>
    </row>
    <row r="30" spans="2:36" s="1" customFormat="1" ht="61.2" x14ac:dyDescent="0.25">
      <c r="B30" s="38" t="s">
        <v>48</v>
      </c>
      <c r="C30" s="38" t="s">
        <v>0</v>
      </c>
      <c r="D30" s="38" t="s">
        <v>37</v>
      </c>
      <c r="E30" s="38"/>
      <c r="F30" s="38" t="s">
        <v>288</v>
      </c>
      <c r="G30" s="135">
        <v>2023</v>
      </c>
      <c r="H30" s="39">
        <v>4410000</v>
      </c>
      <c r="I30" s="39">
        <v>1300000</v>
      </c>
      <c r="J30" s="39">
        <f t="shared" si="6"/>
        <v>5710000</v>
      </c>
      <c r="K30" s="39"/>
      <c r="L30" s="39">
        <f t="shared" si="7"/>
        <v>5710000</v>
      </c>
      <c r="M30" s="39">
        <v>2950000</v>
      </c>
      <c r="N30" s="39">
        <v>-950000</v>
      </c>
      <c r="O30" s="32">
        <v>214360</v>
      </c>
      <c r="P30" s="39">
        <f t="shared" si="4"/>
        <v>2214360</v>
      </c>
      <c r="Q30" s="39"/>
      <c r="R30" s="39">
        <f t="shared" si="8"/>
        <v>2214360</v>
      </c>
      <c r="S30" s="39">
        <v>1870000</v>
      </c>
      <c r="T30" s="39"/>
      <c r="U30" s="39"/>
      <c r="V30" s="39"/>
      <c r="W30" s="39">
        <v>235000</v>
      </c>
      <c r="X30" s="39">
        <f>3785000+660000</f>
        <v>4445000</v>
      </c>
      <c r="Y30" s="39">
        <v>240000</v>
      </c>
      <c r="Z30" s="39">
        <v>150000</v>
      </c>
      <c r="AA30" s="39" t="s">
        <v>307</v>
      </c>
      <c r="AB30" s="39" t="s">
        <v>308</v>
      </c>
      <c r="AC30" s="39" t="s">
        <v>309</v>
      </c>
      <c r="AD30" s="44" t="s">
        <v>310</v>
      </c>
      <c r="AE30" s="259"/>
      <c r="AF30" s="260"/>
      <c r="AG30" s="260"/>
      <c r="AH30" s="260"/>
      <c r="AI30" s="260"/>
      <c r="AJ30" s="258"/>
    </row>
    <row r="31" spans="2:36" s="1" customFormat="1" ht="26.4" x14ac:dyDescent="0.25">
      <c r="B31" s="210" t="s">
        <v>528</v>
      </c>
      <c r="C31" s="211" t="s">
        <v>3</v>
      </c>
      <c r="D31" s="212" t="s">
        <v>42</v>
      </c>
      <c r="E31" s="38"/>
      <c r="F31" s="38"/>
      <c r="G31" s="135"/>
      <c r="H31" s="39"/>
      <c r="I31" s="39">
        <f>SUM(I32:I33)</f>
        <v>889222</v>
      </c>
      <c r="J31" s="39">
        <f t="shared" si="6"/>
        <v>889222</v>
      </c>
      <c r="K31" s="39"/>
      <c r="L31" s="39">
        <f t="shared" si="7"/>
        <v>889222</v>
      </c>
      <c r="M31" s="39"/>
      <c r="N31" s="39">
        <f>SUM(N32:N33)</f>
        <v>889222</v>
      </c>
      <c r="O31" s="32">
        <f>SUM(O32:O33)</f>
        <v>833118</v>
      </c>
      <c r="P31" s="39">
        <f t="shared" si="4"/>
        <v>1722340</v>
      </c>
      <c r="Q31" s="39"/>
      <c r="R31" s="39">
        <f t="shared" si="8"/>
        <v>1722340</v>
      </c>
      <c r="S31" s="39"/>
      <c r="T31" s="39"/>
      <c r="U31" s="39"/>
      <c r="V31" s="39"/>
      <c r="W31" s="39"/>
      <c r="X31" s="39"/>
      <c r="Y31" s="39"/>
      <c r="Z31" s="39"/>
      <c r="AA31" s="39"/>
      <c r="AB31" s="39"/>
      <c r="AC31" s="39"/>
      <c r="AD31" s="44"/>
      <c r="AE31" s="259"/>
      <c r="AF31" s="260"/>
      <c r="AG31" s="260"/>
      <c r="AH31" s="260"/>
      <c r="AI31" s="260"/>
      <c r="AJ31" s="258"/>
    </row>
    <row r="32" spans="2:36" s="1" customFormat="1" x14ac:dyDescent="0.25">
      <c r="B32" s="213" t="s">
        <v>30</v>
      </c>
      <c r="C32" s="214" t="s">
        <v>31</v>
      </c>
      <c r="D32" s="212"/>
      <c r="E32" s="38"/>
      <c r="F32" s="38"/>
      <c r="G32" s="135"/>
      <c r="H32" s="39"/>
      <c r="I32" s="39">
        <v>246760</v>
      </c>
      <c r="J32" s="39">
        <f t="shared" si="6"/>
        <v>246760</v>
      </c>
      <c r="K32" s="39"/>
      <c r="L32" s="39">
        <f t="shared" si="7"/>
        <v>246760</v>
      </c>
      <c r="M32" s="39"/>
      <c r="N32" s="39">
        <v>246760</v>
      </c>
      <c r="O32" s="50">
        <v>231190</v>
      </c>
      <c r="P32" s="39">
        <f t="shared" si="4"/>
        <v>477950</v>
      </c>
      <c r="Q32" s="39"/>
      <c r="R32" s="39">
        <f t="shared" si="8"/>
        <v>477950</v>
      </c>
      <c r="S32" s="39"/>
      <c r="T32" s="39"/>
      <c r="U32" s="39"/>
      <c r="V32" s="39"/>
      <c r="W32" s="39"/>
      <c r="X32" s="39"/>
      <c r="Y32" s="39"/>
      <c r="Z32" s="39"/>
      <c r="AA32" s="39"/>
      <c r="AB32" s="39"/>
      <c r="AC32" s="39"/>
      <c r="AD32" s="44"/>
      <c r="AE32" s="259"/>
      <c r="AF32" s="260"/>
      <c r="AG32" s="260"/>
      <c r="AH32" s="260"/>
      <c r="AI32" s="260"/>
      <c r="AJ32" s="258"/>
    </row>
    <row r="33" spans="2:36" s="1" customFormat="1" x14ac:dyDescent="0.25">
      <c r="B33" s="215"/>
      <c r="C33" s="211" t="s">
        <v>33</v>
      </c>
      <c r="D33" s="212"/>
      <c r="E33" s="38"/>
      <c r="F33" s="38"/>
      <c r="G33" s="135"/>
      <c r="H33" s="39"/>
      <c r="I33" s="39">
        <v>642462</v>
      </c>
      <c r="J33" s="39">
        <f t="shared" si="6"/>
        <v>642462</v>
      </c>
      <c r="K33" s="39"/>
      <c r="L33" s="39">
        <f t="shared" si="7"/>
        <v>642462</v>
      </c>
      <c r="M33" s="39"/>
      <c r="N33" s="39">
        <v>642462</v>
      </c>
      <c r="O33" s="50">
        <v>601928</v>
      </c>
      <c r="P33" s="39">
        <f t="shared" si="4"/>
        <v>1244390</v>
      </c>
      <c r="Q33" s="39"/>
      <c r="R33" s="39">
        <f t="shared" si="8"/>
        <v>1244390</v>
      </c>
      <c r="S33" s="39"/>
      <c r="T33" s="39"/>
      <c r="U33" s="39"/>
      <c r="V33" s="39"/>
      <c r="W33" s="39"/>
      <c r="X33" s="39"/>
      <c r="Y33" s="39"/>
      <c r="Z33" s="39"/>
      <c r="AA33" s="39"/>
      <c r="AB33" s="39"/>
      <c r="AC33" s="39"/>
      <c r="AD33" s="44"/>
      <c r="AE33" s="259"/>
      <c r="AF33" s="260"/>
      <c r="AG33" s="260"/>
      <c r="AH33" s="260"/>
      <c r="AI33" s="260"/>
      <c r="AJ33" s="258"/>
    </row>
    <row r="34" spans="2:36" s="1" customFormat="1" ht="26.4" x14ac:dyDescent="0.25">
      <c r="B34" s="210" t="s">
        <v>529</v>
      </c>
      <c r="C34" s="211" t="s">
        <v>0</v>
      </c>
      <c r="D34" s="212" t="s">
        <v>42</v>
      </c>
      <c r="E34" s="38"/>
      <c r="F34" s="38"/>
      <c r="G34" s="135"/>
      <c r="H34" s="39"/>
      <c r="I34" s="39">
        <v>30000</v>
      </c>
      <c r="J34" s="39">
        <f t="shared" si="6"/>
        <v>30000</v>
      </c>
      <c r="K34" s="39"/>
      <c r="L34" s="39">
        <f t="shared" si="7"/>
        <v>30000</v>
      </c>
      <c r="M34" s="39"/>
      <c r="N34" s="39">
        <v>30000</v>
      </c>
      <c r="O34" s="39"/>
      <c r="P34" s="39">
        <f t="shared" si="4"/>
        <v>30000</v>
      </c>
      <c r="Q34" s="39"/>
      <c r="R34" s="39">
        <f t="shared" si="8"/>
        <v>30000</v>
      </c>
      <c r="S34" s="39"/>
      <c r="T34" s="39"/>
      <c r="U34" s="39"/>
      <c r="V34" s="39"/>
      <c r="W34" s="39"/>
      <c r="X34" s="39"/>
      <c r="Y34" s="39"/>
      <c r="Z34" s="39"/>
      <c r="AA34" s="39"/>
      <c r="AB34" s="39"/>
      <c r="AC34" s="39"/>
      <c r="AD34" s="44"/>
      <c r="AE34" s="259"/>
      <c r="AF34" s="260"/>
      <c r="AG34" s="260"/>
      <c r="AH34" s="260"/>
      <c r="AI34" s="260"/>
      <c r="AJ34" s="258"/>
    </row>
    <row r="35" spans="2:36" s="1" customFormat="1" ht="39.6" x14ac:dyDescent="0.25">
      <c r="B35" s="210" t="s">
        <v>530</v>
      </c>
      <c r="C35" s="211" t="s">
        <v>0</v>
      </c>
      <c r="D35" s="212" t="s">
        <v>42</v>
      </c>
      <c r="E35" s="38"/>
      <c r="F35" s="38"/>
      <c r="G35" s="135"/>
      <c r="H35" s="39"/>
      <c r="I35" s="39">
        <v>30000</v>
      </c>
      <c r="J35" s="39">
        <f t="shared" si="6"/>
        <v>30000</v>
      </c>
      <c r="K35" s="39"/>
      <c r="L35" s="39">
        <f t="shared" si="7"/>
        <v>30000</v>
      </c>
      <c r="M35" s="236"/>
      <c r="N35" s="236">
        <v>30000</v>
      </c>
      <c r="O35" s="236"/>
      <c r="P35" s="236">
        <f t="shared" si="4"/>
        <v>30000</v>
      </c>
      <c r="Q35" s="236"/>
      <c r="R35" s="236">
        <f t="shared" si="8"/>
        <v>30000</v>
      </c>
      <c r="S35" s="236"/>
      <c r="T35" s="236"/>
      <c r="U35" s="236"/>
      <c r="V35" s="236"/>
      <c r="W35" s="236"/>
      <c r="X35" s="39"/>
      <c r="Y35" s="39"/>
      <c r="Z35" s="39"/>
      <c r="AA35" s="39"/>
      <c r="AB35" s="39"/>
      <c r="AC35" s="39"/>
      <c r="AD35" s="44"/>
      <c r="AE35" s="259"/>
      <c r="AF35" s="260"/>
      <c r="AG35" s="260"/>
      <c r="AH35" s="260"/>
      <c r="AI35" s="260"/>
      <c r="AJ35" s="258"/>
    </row>
    <row r="36" spans="2:36" ht="39.6" x14ac:dyDescent="0.25">
      <c r="B36" s="31" t="s">
        <v>49</v>
      </c>
      <c r="C36" s="31" t="s">
        <v>0</v>
      </c>
      <c r="D36" s="31" t="s">
        <v>42</v>
      </c>
      <c r="E36" s="31"/>
      <c r="F36" s="31"/>
      <c r="G36" s="31"/>
      <c r="H36" s="32">
        <f>250000+9800000+4798</f>
        <v>10054798</v>
      </c>
      <c r="I36" s="32">
        <v>29990</v>
      </c>
      <c r="J36" s="32">
        <f t="shared" si="6"/>
        <v>10084788</v>
      </c>
      <c r="K36" s="32"/>
      <c r="L36" s="32">
        <f t="shared" si="7"/>
        <v>10084788</v>
      </c>
      <c r="M36" s="237">
        <v>2250000</v>
      </c>
      <c r="N36" s="237">
        <v>29990</v>
      </c>
      <c r="O36" s="237">
        <f>716624-490171</f>
        <v>226453</v>
      </c>
      <c r="P36" s="237">
        <f t="shared" si="4"/>
        <v>2506443</v>
      </c>
      <c r="Q36" s="237"/>
      <c r="R36" s="237">
        <f t="shared" si="8"/>
        <v>2506443</v>
      </c>
      <c r="S36" s="237">
        <v>2250000</v>
      </c>
      <c r="T36" s="237">
        <v>2250000</v>
      </c>
      <c r="U36" s="237">
        <v>2250000</v>
      </c>
      <c r="V36" s="237">
        <v>2250000</v>
      </c>
      <c r="W36" s="237"/>
      <c r="X36" s="32"/>
      <c r="Y36" s="32"/>
      <c r="Z36" s="32"/>
      <c r="AA36" s="32"/>
      <c r="AB36" s="32"/>
      <c r="AC36" s="32"/>
      <c r="AD36" s="36" t="s">
        <v>311</v>
      </c>
      <c r="AE36" s="259"/>
      <c r="AF36" s="257"/>
      <c r="AG36" s="257"/>
      <c r="AH36" s="257"/>
      <c r="AI36" s="257"/>
      <c r="AJ36" s="258"/>
    </row>
    <row r="37" spans="2:36" x14ac:dyDescent="0.25">
      <c r="B37" s="31" t="s">
        <v>50</v>
      </c>
      <c r="C37" s="31" t="s">
        <v>3</v>
      </c>
      <c r="D37" s="31"/>
      <c r="E37" s="31"/>
      <c r="F37" s="31"/>
      <c r="G37" s="31"/>
      <c r="H37" s="32">
        <f>SUM(H38:H39)</f>
        <v>179456000</v>
      </c>
      <c r="I37" s="32">
        <f>SUM(I38:I39)</f>
        <v>6910000</v>
      </c>
      <c r="J37" s="32">
        <f t="shared" si="6"/>
        <v>186366000</v>
      </c>
      <c r="K37" s="32">
        <f>SUM(K38:K39)</f>
        <v>15510000</v>
      </c>
      <c r="L37" s="32">
        <f t="shared" si="7"/>
        <v>201876000</v>
      </c>
      <c r="M37" s="237">
        <f t="shared" ref="M37" si="23">SUM(M38:M39)</f>
        <v>43562720</v>
      </c>
      <c r="N37" s="237">
        <f>SUM(N38:N39)</f>
        <v>-8466164</v>
      </c>
      <c r="O37" s="237">
        <f>SUM(O38:O39)</f>
        <v>12608090</v>
      </c>
      <c r="P37" s="237">
        <f t="shared" si="4"/>
        <v>47704646</v>
      </c>
      <c r="Q37" s="237"/>
      <c r="R37" s="237">
        <f t="shared" si="8"/>
        <v>47704646</v>
      </c>
      <c r="S37" s="237">
        <f t="shared" ref="S37:Z37" si="24">SUM(S38:S39)</f>
        <v>44966025</v>
      </c>
      <c r="T37" s="237">
        <f t="shared" si="24"/>
        <v>28653404</v>
      </c>
      <c r="U37" s="237">
        <f t="shared" si="24"/>
        <v>22545037</v>
      </c>
      <c r="V37" s="237">
        <f t="shared" si="24"/>
        <v>20100000</v>
      </c>
      <c r="W37" s="237">
        <f t="shared" si="24"/>
        <v>4288360</v>
      </c>
      <c r="X37" s="32">
        <f t="shared" si="24"/>
        <v>133525200</v>
      </c>
      <c r="Y37" s="32">
        <f t="shared" si="24"/>
        <v>7320000</v>
      </c>
      <c r="Z37" s="32">
        <f t="shared" si="24"/>
        <v>4257440</v>
      </c>
      <c r="AA37" s="32"/>
      <c r="AB37" s="32"/>
      <c r="AC37" s="32"/>
      <c r="AD37" s="36"/>
      <c r="AE37" s="259"/>
      <c r="AF37" s="257"/>
      <c r="AG37" s="257"/>
      <c r="AH37" s="257"/>
      <c r="AI37" s="257"/>
      <c r="AJ37" s="258"/>
    </row>
    <row r="38" spans="2:36" ht="30.6" x14ac:dyDescent="0.25">
      <c r="B38" s="34" t="s">
        <v>51</v>
      </c>
      <c r="C38" s="35" t="s">
        <v>0</v>
      </c>
      <c r="D38" s="35" t="s">
        <v>42</v>
      </c>
      <c r="E38" s="35"/>
      <c r="F38" s="35"/>
      <c r="G38" s="35"/>
      <c r="H38" s="36">
        <v>10000000</v>
      </c>
      <c r="I38" s="36">
        <v>370000</v>
      </c>
      <c r="J38" s="36">
        <f t="shared" si="6"/>
        <v>10370000</v>
      </c>
      <c r="K38" s="36">
        <v>10000000</v>
      </c>
      <c r="L38" s="36">
        <f t="shared" si="7"/>
        <v>20370000</v>
      </c>
      <c r="M38" s="238">
        <f>2100000+880000</f>
        <v>2980000</v>
      </c>
      <c r="N38" s="238">
        <v>-510000</v>
      </c>
      <c r="O38" s="238">
        <f>1885587-463341-680000</f>
        <v>742246</v>
      </c>
      <c r="P38" s="238">
        <f t="shared" si="4"/>
        <v>3212246</v>
      </c>
      <c r="Q38" s="238"/>
      <c r="R38" s="238">
        <f t="shared" si="8"/>
        <v>3212246</v>
      </c>
      <c r="S38" s="238">
        <v>2000000</v>
      </c>
      <c r="T38" s="238">
        <v>2000000</v>
      </c>
      <c r="U38" s="238">
        <v>2000000</v>
      </c>
      <c r="V38" s="238">
        <v>2000000</v>
      </c>
      <c r="W38" s="238"/>
      <c r="X38" s="36"/>
      <c r="Y38" s="36"/>
      <c r="Z38" s="36"/>
      <c r="AA38" s="36"/>
      <c r="AB38" s="36"/>
      <c r="AC38" s="36"/>
      <c r="AD38" s="36" t="s">
        <v>311</v>
      </c>
      <c r="AE38" s="259"/>
      <c r="AF38" s="257"/>
      <c r="AG38" s="257"/>
      <c r="AH38" s="257"/>
      <c r="AI38" s="257"/>
      <c r="AJ38" s="258"/>
    </row>
    <row r="39" spans="2:36" ht="20.399999999999999" x14ac:dyDescent="0.25">
      <c r="B39" s="34" t="s">
        <v>52</v>
      </c>
      <c r="C39" s="35" t="s">
        <v>1</v>
      </c>
      <c r="D39" s="35"/>
      <c r="E39" s="35"/>
      <c r="F39" s="35"/>
      <c r="G39" s="35"/>
      <c r="H39" s="36">
        <f>SUM(H40:H42)</f>
        <v>169456000</v>
      </c>
      <c r="I39" s="36">
        <f>SUM(I40:I42)</f>
        <v>6540000</v>
      </c>
      <c r="J39" s="36">
        <f t="shared" si="6"/>
        <v>175996000</v>
      </c>
      <c r="K39" s="36">
        <f>SUM(K40:K42)</f>
        <v>5510000</v>
      </c>
      <c r="L39" s="36">
        <f t="shared" si="7"/>
        <v>181506000</v>
      </c>
      <c r="M39" s="238">
        <f>SUM(M40:M42)</f>
        <v>40582720</v>
      </c>
      <c r="N39" s="238">
        <f>SUM(N40:N42)</f>
        <v>-7956164</v>
      </c>
      <c r="O39" s="238">
        <f>SUM(O40:O42)</f>
        <v>11865844</v>
      </c>
      <c r="P39" s="238">
        <f t="shared" si="4"/>
        <v>44492400</v>
      </c>
      <c r="Q39" s="238"/>
      <c r="R39" s="238">
        <f t="shared" si="8"/>
        <v>44492400</v>
      </c>
      <c r="S39" s="238">
        <f t="shared" ref="S39:V39" si="25">SUM(S40:S42)</f>
        <v>42966025</v>
      </c>
      <c r="T39" s="238">
        <f t="shared" si="25"/>
        <v>26653404</v>
      </c>
      <c r="U39" s="238">
        <f t="shared" si="25"/>
        <v>20545037</v>
      </c>
      <c r="V39" s="238">
        <f t="shared" si="25"/>
        <v>18100000</v>
      </c>
      <c r="W39" s="238">
        <f t="shared" ref="W39" si="26">SUM(W40:W42)</f>
        <v>4288360</v>
      </c>
      <c r="X39" s="36">
        <f t="shared" ref="X39" si="27">SUM(X40:X42)</f>
        <v>133525200</v>
      </c>
      <c r="Y39" s="36">
        <f t="shared" ref="Y39" si="28">SUM(Y40:Y42)</f>
        <v>7320000</v>
      </c>
      <c r="Z39" s="36">
        <f t="shared" ref="Z39" si="29">SUM(Z40:Z42)</f>
        <v>4257440</v>
      </c>
      <c r="AA39" s="36"/>
      <c r="AB39" s="36"/>
      <c r="AC39" s="36"/>
      <c r="AD39" s="36"/>
      <c r="AE39" s="259"/>
      <c r="AF39" s="257"/>
      <c r="AG39" s="257"/>
      <c r="AH39" s="257"/>
      <c r="AI39" s="257"/>
      <c r="AJ39" s="258"/>
    </row>
    <row r="40" spans="2:36" x14ac:dyDescent="0.25">
      <c r="B40" s="34"/>
      <c r="C40" s="35" t="s">
        <v>0</v>
      </c>
      <c r="D40" s="35" t="s">
        <v>37</v>
      </c>
      <c r="E40" s="35"/>
      <c r="F40" s="35"/>
      <c r="G40" s="35"/>
      <c r="H40" s="36">
        <f>H44+H47+H50+SUM(H53:H73)</f>
        <v>159813000</v>
      </c>
      <c r="I40" s="36">
        <f>I44+I47+I50+SUM(I53:I73)</f>
        <v>6540000</v>
      </c>
      <c r="J40" s="36">
        <f t="shared" si="6"/>
        <v>166353000</v>
      </c>
      <c r="K40" s="36">
        <f>K44+K47+K50+SUM(K53:K73)</f>
        <v>5510000</v>
      </c>
      <c r="L40" s="36">
        <f t="shared" si="7"/>
        <v>171863000</v>
      </c>
      <c r="M40" s="36">
        <f>M44+M47+M50+SUM(M53:M73)</f>
        <v>39651720</v>
      </c>
      <c r="N40" s="36">
        <f>N44+N47+N50+SUM(N53:N73)</f>
        <v>-7956164</v>
      </c>
      <c r="O40" s="36">
        <f>O44+O47+O50+SUM(O53:O73)</f>
        <v>4220754</v>
      </c>
      <c r="P40" s="36">
        <f t="shared" si="4"/>
        <v>35916310</v>
      </c>
      <c r="Q40" s="36"/>
      <c r="R40" s="36">
        <f t="shared" si="8"/>
        <v>35916310</v>
      </c>
      <c r="S40" s="36">
        <f t="shared" ref="S40:V40" si="30">S44+S47+S50+SUM(S53:S73)</f>
        <v>42966025</v>
      </c>
      <c r="T40" s="36">
        <f t="shared" si="30"/>
        <v>26653404</v>
      </c>
      <c r="U40" s="36">
        <f t="shared" si="30"/>
        <v>20545037</v>
      </c>
      <c r="V40" s="36">
        <f t="shared" si="30"/>
        <v>18100000</v>
      </c>
      <c r="W40" s="36">
        <f t="shared" ref="W40:Z40" si="31">W44+W47+W50+SUM(W53:W73)</f>
        <v>4288360</v>
      </c>
      <c r="X40" s="36">
        <f t="shared" si="31"/>
        <v>133525200</v>
      </c>
      <c r="Y40" s="36">
        <f t="shared" si="31"/>
        <v>7320000</v>
      </c>
      <c r="Z40" s="36">
        <f t="shared" si="31"/>
        <v>4257440</v>
      </c>
      <c r="AA40" s="36"/>
      <c r="AB40" s="36"/>
      <c r="AC40" s="36"/>
      <c r="AD40" s="36"/>
      <c r="AE40" s="259"/>
      <c r="AF40" s="257"/>
      <c r="AG40" s="257"/>
      <c r="AH40" s="257"/>
      <c r="AI40" s="257"/>
      <c r="AJ40" s="258"/>
    </row>
    <row r="41" spans="2:36" x14ac:dyDescent="0.25">
      <c r="B41" s="34"/>
      <c r="C41" s="35" t="s">
        <v>33</v>
      </c>
      <c r="D41" s="35" t="s">
        <v>37</v>
      </c>
      <c r="E41" s="35"/>
      <c r="F41" s="35"/>
      <c r="G41" s="35"/>
      <c r="H41" s="36">
        <f>H51</f>
        <v>931000</v>
      </c>
      <c r="I41" s="36">
        <f>I51</f>
        <v>-931000</v>
      </c>
      <c r="J41" s="36">
        <f>H41+I41</f>
        <v>0</v>
      </c>
      <c r="K41" s="36">
        <f>K51</f>
        <v>0</v>
      </c>
      <c r="L41" s="36">
        <f>J41+K41</f>
        <v>0</v>
      </c>
      <c r="M41" s="36">
        <f>M51</f>
        <v>931000</v>
      </c>
      <c r="N41" s="36">
        <f>N51</f>
        <v>-931000</v>
      </c>
      <c r="O41" s="36">
        <f>O51</f>
        <v>0</v>
      </c>
      <c r="P41" s="36">
        <f t="shared" si="4"/>
        <v>0</v>
      </c>
      <c r="Q41" s="36"/>
      <c r="R41" s="36">
        <f t="shared" si="8"/>
        <v>0</v>
      </c>
      <c r="S41" s="36">
        <f t="shared" ref="S41:V41" si="32">S51</f>
        <v>0</v>
      </c>
      <c r="T41" s="36">
        <f t="shared" si="32"/>
        <v>0</v>
      </c>
      <c r="U41" s="36">
        <f t="shared" si="32"/>
        <v>0</v>
      </c>
      <c r="V41" s="36">
        <f t="shared" si="32"/>
        <v>0</v>
      </c>
      <c r="W41" s="36">
        <f t="shared" ref="W41:Z41" si="33">W51</f>
        <v>0</v>
      </c>
      <c r="X41" s="36">
        <f t="shared" si="33"/>
        <v>0</v>
      </c>
      <c r="Y41" s="36">
        <f t="shared" si="33"/>
        <v>0</v>
      </c>
      <c r="Z41" s="36">
        <f t="shared" si="33"/>
        <v>0</v>
      </c>
      <c r="AA41" s="36"/>
      <c r="AB41" s="36"/>
      <c r="AC41" s="36"/>
      <c r="AD41" s="36"/>
      <c r="AE41" s="259"/>
      <c r="AF41" s="257"/>
      <c r="AG41" s="257"/>
      <c r="AH41" s="257"/>
      <c r="AI41" s="257"/>
      <c r="AJ41" s="258"/>
    </row>
    <row r="42" spans="2:36" x14ac:dyDescent="0.25">
      <c r="B42" s="34"/>
      <c r="C42" s="35" t="s">
        <v>31</v>
      </c>
      <c r="D42" s="35" t="s">
        <v>37</v>
      </c>
      <c r="E42" s="35"/>
      <c r="F42" s="35"/>
      <c r="G42" s="35"/>
      <c r="H42" s="36">
        <f>H45+H48+H52</f>
        <v>8712000</v>
      </c>
      <c r="I42" s="36">
        <f>I45+I48+I52</f>
        <v>931000</v>
      </c>
      <c r="J42" s="36">
        <f t="shared" si="6"/>
        <v>9643000</v>
      </c>
      <c r="K42" s="36">
        <f>K45+K48+K52</f>
        <v>0</v>
      </c>
      <c r="L42" s="36">
        <f t="shared" si="7"/>
        <v>9643000</v>
      </c>
      <c r="M42" s="36">
        <f>M45+M48</f>
        <v>0</v>
      </c>
      <c r="N42" s="36">
        <f>N45+N48+N52</f>
        <v>931000</v>
      </c>
      <c r="O42" s="36">
        <f>O45+O48+O52</f>
        <v>7645090</v>
      </c>
      <c r="P42" s="36">
        <f t="shared" si="4"/>
        <v>8576090</v>
      </c>
      <c r="Q42" s="36"/>
      <c r="R42" s="36">
        <f t="shared" si="8"/>
        <v>8576090</v>
      </c>
      <c r="S42" s="36">
        <f t="shared" ref="S42:V42" si="34">S45+S48+S52</f>
        <v>0</v>
      </c>
      <c r="T42" s="36">
        <f t="shared" si="34"/>
        <v>0</v>
      </c>
      <c r="U42" s="36">
        <f t="shared" si="34"/>
        <v>0</v>
      </c>
      <c r="V42" s="36">
        <f t="shared" si="34"/>
        <v>0</v>
      </c>
      <c r="W42" s="36">
        <f t="shared" ref="W42:Z42" si="35">W45+W48+W52</f>
        <v>0</v>
      </c>
      <c r="X42" s="36">
        <f t="shared" si="35"/>
        <v>0</v>
      </c>
      <c r="Y42" s="36">
        <f t="shared" si="35"/>
        <v>0</v>
      </c>
      <c r="Z42" s="36">
        <f t="shared" si="35"/>
        <v>0</v>
      </c>
      <c r="AA42" s="36"/>
      <c r="AB42" s="36"/>
      <c r="AC42" s="36"/>
      <c r="AD42" s="36"/>
      <c r="AE42" s="259"/>
      <c r="AF42" s="257"/>
      <c r="AG42" s="257"/>
      <c r="AH42" s="257"/>
      <c r="AI42" s="257"/>
      <c r="AJ42" s="258"/>
    </row>
    <row r="43" spans="2:36" ht="20.399999999999999" x14ac:dyDescent="0.25">
      <c r="B43" s="34" t="s">
        <v>593</v>
      </c>
      <c r="C43" s="35" t="s">
        <v>3</v>
      </c>
      <c r="D43" s="35"/>
      <c r="E43" s="35"/>
      <c r="F43" s="35" t="s">
        <v>312</v>
      </c>
      <c r="G43" s="127">
        <v>2022</v>
      </c>
      <c r="H43" s="36">
        <f>H44+H45</f>
        <v>8686000</v>
      </c>
      <c r="I43" s="36">
        <v>0</v>
      </c>
      <c r="J43" s="36">
        <f t="shared" si="6"/>
        <v>8686000</v>
      </c>
      <c r="K43" s="36"/>
      <c r="L43" s="36">
        <f t="shared" si="7"/>
        <v>8686000</v>
      </c>
      <c r="M43" s="36">
        <f>M44</f>
        <v>3800000</v>
      </c>
      <c r="N43" s="36">
        <v>0</v>
      </c>
      <c r="O43" s="36">
        <f>SUM(O44:O45)</f>
        <v>4329517</v>
      </c>
      <c r="P43" s="36">
        <f t="shared" si="4"/>
        <v>8129517</v>
      </c>
      <c r="Q43" s="36"/>
      <c r="R43" s="36">
        <f t="shared" si="8"/>
        <v>8129517</v>
      </c>
      <c r="S43" s="36"/>
      <c r="T43" s="36"/>
      <c r="U43" s="36"/>
      <c r="V43" s="36"/>
      <c r="W43" s="36"/>
      <c r="X43" s="36"/>
      <c r="Y43" s="36"/>
      <c r="Z43" s="36"/>
      <c r="AA43" s="36"/>
      <c r="AB43" s="36"/>
      <c r="AC43" s="36"/>
      <c r="AD43" s="36" t="s">
        <v>313</v>
      </c>
      <c r="AE43" s="259"/>
      <c r="AF43" s="257"/>
      <c r="AG43" s="257"/>
      <c r="AH43" s="257"/>
      <c r="AI43" s="257"/>
      <c r="AJ43" s="258"/>
    </row>
    <row r="44" spans="2:36" x14ac:dyDescent="0.25">
      <c r="B44" s="40" t="s">
        <v>30</v>
      </c>
      <c r="C44" s="35" t="s">
        <v>0</v>
      </c>
      <c r="D44" s="35"/>
      <c r="E44" s="35"/>
      <c r="F44" s="35"/>
      <c r="G44" s="127"/>
      <c r="H44" s="36">
        <v>3974000</v>
      </c>
      <c r="I44" s="36">
        <v>0</v>
      </c>
      <c r="J44" s="36">
        <f t="shared" si="6"/>
        <v>3974000</v>
      </c>
      <c r="K44" s="36"/>
      <c r="L44" s="36">
        <f t="shared" si="7"/>
        <v>3974000</v>
      </c>
      <c r="M44" s="36">
        <v>3800000</v>
      </c>
      <c r="N44" s="36">
        <v>0</v>
      </c>
      <c r="O44" s="36">
        <v>70673</v>
      </c>
      <c r="P44" s="36">
        <f t="shared" si="4"/>
        <v>3870673</v>
      </c>
      <c r="Q44" s="36"/>
      <c r="R44" s="36">
        <f t="shared" si="8"/>
        <v>3870673</v>
      </c>
      <c r="S44" s="36"/>
      <c r="T44" s="36"/>
      <c r="U44" s="36"/>
      <c r="V44" s="36"/>
      <c r="W44" s="36"/>
      <c r="X44" s="36"/>
      <c r="Y44" s="36"/>
      <c r="Z44" s="36"/>
      <c r="AA44" s="36"/>
      <c r="AB44" s="36"/>
      <c r="AC44" s="36"/>
      <c r="AD44" s="36"/>
      <c r="AE44" s="259"/>
      <c r="AF44" s="257"/>
      <c r="AG44" s="257"/>
      <c r="AH44" s="257"/>
      <c r="AI44" s="257"/>
      <c r="AJ44" s="258"/>
    </row>
    <row r="45" spans="2:36" x14ac:dyDescent="0.25">
      <c r="B45" s="34"/>
      <c r="C45" s="35" t="s">
        <v>31</v>
      </c>
      <c r="D45" s="35"/>
      <c r="E45" s="35"/>
      <c r="F45" s="35"/>
      <c r="G45" s="127"/>
      <c r="H45" s="36">
        <v>4712000</v>
      </c>
      <c r="I45" s="36">
        <v>0</v>
      </c>
      <c r="J45" s="36">
        <f t="shared" si="6"/>
        <v>4712000</v>
      </c>
      <c r="K45" s="36"/>
      <c r="L45" s="36">
        <f t="shared" si="7"/>
        <v>4712000</v>
      </c>
      <c r="M45" s="36"/>
      <c r="N45" s="36">
        <v>0</v>
      </c>
      <c r="O45" s="36">
        <v>4258844</v>
      </c>
      <c r="P45" s="36">
        <f t="shared" si="4"/>
        <v>4258844</v>
      </c>
      <c r="Q45" s="36"/>
      <c r="R45" s="36">
        <f t="shared" si="8"/>
        <v>4258844</v>
      </c>
      <c r="S45" s="36"/>
      <c r="T45" s="36"/>
      <c r="U45" s="36"/>
      <c r="V45" s="36"/>
      <c r="W45" s="36"/>
      <c r="X45" s="36"/>
      <c r="Y45" s="36"/>
      <c r="Z45" s="36"/>
      <c r="AA45" s="36"/>
      <c r="AB45" s="36"/>
      <c r="AC45" s="36"/>
      <c r="AD45" s="36"/>
      <c r="AE45" s="259"/>
      <c r="AF45" s="257"/>
      <c r="AG45" s="257"/>
      <c r="AH45" s="257"/>
      <c r="AI45" s="257"/>
      <c r="AJ45" s="258"/>
    </row>
    <row r="46" spans="2:36" ht="20.399999999999999" x14ac:dyDescent="0.25">
      <c r="B46" s="34" t="s">
        <v>594</v>
      </c>
      <c r="C46" s="35" t="s">
        <v>3</v>
      </c>
      <c r="D46" s="35"/>
      <c r="E46" s="35"/>
      <c r="F46" s="35" t="s">
        <v>300</v>
      </c>
      <c r="G46" s="127">
        <v>2022</v>
      </c>
      <c r="H46" s="36">
        <f>H47+H48</f>
        <v>7550000</v>
      </c>
      <c r="I46" s="36">
        <v>0</v>
      </c>
      <c r="J46" s="36">
        <f t="shared" si="6"/>
        <v>7550000</v>
      </c>
      <c r="K46" s="36"/>
      <c r="L46" s="36">
        <f t="shared" si="7"/>
        <v>7550000</v>
      </c>
      <c r="M46" s="36">
        <f>M47+M48</f>
        <v>3400000</v>
      </c>
      <c r="N46" s="36">
        <v>0</v>
      </c>
      <c r="O46" s="36">
        <f>SUM(O47:O48)</f>
        <v>3386346</v>
      </c>
      <c r="P46" s="36">
        <f t="shared" si="4"/>
        <v>6786346</v>
      </c>
      <c r="Q46" s="36"/>
      <c r="R46" s="36">
        <f t="shared" si="8"/>
        <v>6786346</v>
      </c>
      <c r="S46" s="36"/>
      <c r="T46" s="36"/>
      <c r="U46" s="36"/>
      <c r="V46" s="36"/>
      <c r="W46" s="36"/>
      <c r="X46" s="36"/>
      <c r="Y46" s="36"/>
      <c r="Z46" s="36"/>
      <c r="AA46" s="36"/>
      <c r="AB46" s="36"/>
      <c r="AC46" s="36"/>
      <c r="AD46" s="36" t="s">
        <v>313</v>
      </c>
      <c r="AE46" s="259"/>
      <c r="AF46" s="257"/>
      <c r="AG46" s="257"/>
      <c r="AH46" s="257"/>
      <c r="AI46" s="257"/>
      <c r="AJ46" s="258"/>
    </row>
    <row r="47" spans="2:36" x14ac:dyDescent="0.25">
      <c r="B47" s="40" t="s">
        <v>30</v>
      </c>
      <c r="C47" s="35" t="s">
        <v>0</v>
      </c>
      <c r="D47" s="35"/>
      <c r="E47" s="35"/>
      <c r="F47" s="35"/>
      <c r="G47" s="127"/>
      <c r="H47" s="36">
        <v>3550000</v>
      </c>
      <c r="I47" s="36">
        <v>0</v>
      </c>
      <c r="J47" s="36">
        <f t="shared" si="6"/>
        <v>3550000</v>
      </c>
      <c r="K47" s="36"/>
      <c r="L47" s="36">
        <f t="shared" si="7"/>
        <v>3550000</v>
      </c>
      <c r="M47" s="36">
        <v>3400000</v>
      </c>
      <c r="N47" s="36">
        <v>0</v>
      </c>
      <c r="O47" s="36">
        <v>100</v>
      </c>
      <c r="P47" s="36">
        <f t="shared" si="4"/>
        <v>3400100</v>
      </c>
      <c r="Q47" s="36"/>
      <c r="R47" s="36">
        <f t="shared" si="8"/>
        <v>3400100</v>
      </c>
      <c r="S47" s="36"/>
      <c r="T47" s="36"/>
      <c r="U47" s="36"/>
      <c r="V47" s="36"/>
      <c r="W47" s="36"/>
      <c r="X47" s="36"/>
      <c r="Y47" s="36"/>
      <c r="Z47" s="36"/>
      <c r="AA47" s="36"/>
      <c r="AB47" s="36"/>
      <c r="AC47" s="36"/>
      <c r="AD47" s="36"/>
      <c r="AE47" s="259"/>
      <c r="AF47" s="257"/>
      <c r="AG47" s="257"/>
      <c r="AH47" s="257"/>
      <c r="AI47" s="257"/>
      <c r="AJ47" s="258"/>
    </row>
    <row r="48" spans="2:36" x14ac:dyDescent="0.25">
      <c r="B48" s="34"/>
      <c r="C48" s="35" t="s">
        <v>31</v>
      </c>
      <c r="D48" s="35"/>
      <c r="E48" s="35"/>
      <c r="F48" s="35"/>
      <c r="G48" s="127"/>
      <c r="H48" s="36">
        <v>4000000</v>
      </c>
      <c r="I48" s="36">
        <v>0</v>
      </c>
      <c r="J48" s="36">
        <f t="shared" si="6"/>
        <v>4000000</v>
      </c>
      <c r="K48" s="36"/>
      <c r="L48" s="36">
        <f t="shared" si="7"/>
        <v>4000000</v>
      </c>
      <c r="M48" s="36">
        <v>0</v>
      </c>
      <c r="N48" s="36">
        <v>0</v>
      </c>
      <c r="O48" s="36">
        <v>3386246</v>
      </c>
      <c r="P48" s="36">
        <f t="shared" si="4"/>
        <v>3386246</v>
      </c>
      <c r="Q48" s="36"/>
      <c r="R48" s="36">
        <f t="shared" si="8"/>
        <v>3386246</v>
      </c>
      <c r="S48" s="36"/>
      <c r="T48" s="36"/>
      <c r="U48" s="36"/>
      <c r="V48" s="36"/>
      <c r="W48" s="36"/>
      <c r="X48" s="36"/>
      <c r="Y48" s="36"/>
      <c r="Z48" s="36"/>
      <c r="AA48" s="36"/>
      <c r="AB48" s="36"/>
      <c r="AC48" s="36"/>
      <c r="AD48" s="36"/>
      <c r="AE48" s="259"/>
      <c r="AF48" s="257"/>
      <c r="AG48" s="257"/>
      <c r="AH48" s="257"/>
      <c r="AI48" s="257"/>
      <c r="AJ48" s="258"/>
    </row>
    <row r="49" spans="2:36" s="41" customFormat="1" ht="30.6" x14ac:dyDescent="0.25">
      <c r="B49" s="34" t="s">
        <v>11</v>
      </c>
      <c r="C49" s="35" t="s">
        <v>3</v>
      </c>
      <c r="D49" s="35"/>
      <c r="E49" s="35"/>
      <c r="F49" s="35" t="s">
        <v>314</v>
      </c>
      <c r="G49" s="127">
        <v>2022</v>
      </c>
      <c r="H49" s="36">
        <f>H50+H51+H52</f>
        <v>7290000</v>
      </c>
      <c r="I49" s="36">
        <f>I50+I51+I52</f>
        <v>0</v>
      </c>
      <c r="J49" s="36">
        <f t="shared" si="6"/>
        <v>7290000</v>
      </c>
      <c r="K49" s="36"/>
      <c r="L49" s="36">
        <f t="shared" si="7"/>
        <v>7290000</v>
      </c>
      <c r="M49" s="36">
        <f>M50+M51</f>
        <v>6080000</v>
      </c>
      <c r="N49" s="36">
        <f>N50+N51+N52</f>
        <v>0</v>
      </c>
      <c r="O49" s="36">
        <f>O50+O51</f>
        <v>572332</v>
      </c>
      <c r="P49" s="36">
        <f t="shared" si="4"/>
        <v>6652332</v>
      </c>
      <c r="Q49" s="36"/>
      <c r="R49" s="36">
        <f t="shared" si="8"/>
        <v>6652332</v>
      </c>
      <c r="S49" s="36">
        <v>0</v>
      </c>
      <c r="T49" s="36">
        <v>0</v>
      </c>
      <c r="U49" s="36"/>
      <c r="V49" s="36"/>
      <c r="W49" s="36">
        <v>211000</v>
      </c>
      <c r="X49" s="36">
        <v>6490000</v>
      </c>
      <c r="Y49" s="36">
        <v>300000</v>
      </c>
      <c r="Z49" s="36">
        <v>289000</v>
      </c>
      <c r="AA49" s="36" t="s">
        <v>315</v>
      </c>
      <c r="AB49" s="36" t="s">
        <v>316</v>
      </c>
      <c r="AC49" s="36" t="s">
        <v>317</v>
      </c>
      <c r="AD49" s="36" t="s">
        <v>318</v>
      </c>
      <c r="AE49" s="259"/>
      <c r="AF49" s="262"/>
      <c r="AG49" s="262"/>
      <c r="AH49" s="262"/>
      <c r="AI49" s="262"/>
      <c r="AJ49" s="258"/>
    </row>
    <row r="50" spans="2:36" s="41" customFormat="1" x14ac:dyDescent="0.25">
      <c r="B50" s="40" t="s">
        <v>30</v>
      </c>
      <c r="C50" s="35" t="s">
        <v>0</v>
      </c>
      <c r="D50" s="35"/>
      <c r="E50" s="35"/>
      <c r="F50" s="35"/>
      <c r="G50" s="127"/>
      <c r="H50" s="36">
        <v>6359000</v>
      </c>
      <c r="I50" s="36">
        <v>0</v>
      </c>
      <c r="J50" s="36">
        <f t="shared" si="6"/>
        <v>6359000</v>
      </c>
      <c r="K50" s="36"/>
      <c r="L50" s="36">
        <f t="shared" si="7"/>
        <v>6359000</v>
      </c>
      <c r="M50" s="36">
        <v>5149000</v>
      </c>
      <c r="N50" s="36">
        <v>0</v>
      </c>
      <c r="O50" s="36">
        <v>572332</v>
      </c>
      <c r="P50" s="36">
        <f t="shared" si="4"/>
        <v>5721332</v>
      </c>
      <c r="Q50" s="36"/>
      <c r="R50" s="36">
        <f t="shared" si="8"/>
        <v>5721332</v>
      </c>
      <c r="S50" s="36"/>
      <c r="T50" s="36"/>
      <c r="U50" s="36"/>
      <c r="V50" s="36"/>
      <c r="W50" s="36"/>
      <c r="X50" s="36"/>
      <c r="Y50" s="36"/>
      <c r="Z50" s="36"/>
      <c r="AA50" s="36"/>
      <c r="AB50" s="36"/>
      <c r="AC50" s="36"/>
      <c r="AD50" s="36"/>
      <c r="AE50" s="259"/>
      <c r="AF50" s="262"/>
      <c r="AG50" s="262"/>
      <c r="AH50" s="262"/>
      <c r="AI50" s="262"/>
      <c r="AJ50" s="258"/>
    </row>
    <row r="51" spans="2:36" s="41" customFormat="1" x14ac:dyDescent="0.25">
      <c r="B51" s="34"/>
      <c r="C51" s="35" t="s">
        <v>33</v>
      </c>
      <c r="D51" s="35"/>
      <c r="E51" s="35"/>
      <c r="F51" s="35"/>
      <c r="G51" s="127"/>
      <c r="H51" s="36">
        <v>931000</v>
      </c>
      <c r="I51" s="36">
        <v>-931000</v>
      </c>
      <c r="J51" s="36">
        <f t="shared" si="6"/>
        <v>0</v>
      </c>
      <c r="K51" s="36"/>
      <c r="L51" s="36">
        <f t="shared" si="7"/>
        <v>0</v>
      </c>
      <c r="M51" s="36">
        <v>931000</v>
      </c>
      <c r="N51" s="36">
        <v>-931000</v>
      </c>
      <c r="O51" s="36"/>
      <c r="P51" s="36">
        <f t="shared" si="4"/>
        <v>0</v>
      </c>
      <c r="Q51" s="36"/>
      <c r="R51" s="36">
        <f t="shared" si="8"/>
        <v>0</v>
      </c>
      <c r="S51" s="36"/>
      <c r="T51" s="36"/>
      <c r="U51" s="36"/>
      <c r="V51" s="36"/>
      <c r="W51" s="36"/>
      <c r="X51" s="36"/>
      <c r="Y51" s="36"/>
      <c r="Z51" s="36"/>
      <c r="AA51" s="36"/>
      <c r="AB51" s="36"/>
      <c r="AC51" s="36"/>
      <c r="AD51" s="36"/>
      <c r="AE51" s="259"/>
      <c r="AF51" s="262"/>
      <c r="AG51" s="262"/>
      <c r="AH51" s="262"/>
      <c r="AI51" s="262"/>
      <c r="AJ51" s="258"/>
    </row>
    <row r="52" spans="2:36" s="41" customFormat="1" x14ac:dyDescent="0.25">
      <c r="B52" s="34"/>
      <c r="C52" s="35" t="s">
        <v>31</v>
      </c>
      <c r="D52" s="35"/>
      <c r="E52" s="35"/>
      <c r="F52" s="35"/>
      <c r="G52" s="127"/>
      <c r="H52" s="36"/>
      <c r="I52" s="36">
        <v>931000</v>
      </c>
      <c r="J52" s="36">
        <f t="shared" si="6"/>
        <v>931000</v>
      </c>
      <c r="K52" s="36"/>
      <c r="L52" s="36">
        <f t="shared" si="7"/>
        <v>931000</v>
      </c>
      <c r="M52" s="36"/>
      <c r="N52" s="36">
        <v>931000</v>
      </c>
      <c r="O52" s="36"/>
      <c r="P52" s="36">
        <f t="shared" si="4"/>
        <v>931000</v>
      </c>
      <c r="Q52" s="36"/>
      <c r="R52" s="36">
        <f t="shared" si="8"/>
        <v>931000</v>
      </c>
      <c r="S52" s="36"/>
      <c r="T52" s="36"/>
      <c r="U52" s="36"/>
      <c r="V52" s="36"/>
      <c r="W52" s="36"/>
      <c r="X52" s="36"/>
      <c r="Y52" s="36"/>
      <c r="Z52" s="36"/>
      <c r="AA52" s="36"/>
      <c r="AB52" s="36"/>
      <c r="AC52" s="36"/>
      <c r="AD52" s="36"/>
      <c r="AE52" s="259"/>
      <c r="AF52" s="262"/>
      <c r="AG52" s="262"/>
      <c r="AH52" s="262"/>
      <c r="AI52" s="262"/>
      <c r="AJ52" s="258"/>
    </row>
    <row r="53" spans="2:36" ht="71.400000000000006" x14ac:dyDescent="0.25">
      <c r="B53" s="34" t="s">
        <v>53</v>
      </c>
      <c r="C53" s="35"/>
      <c r="D53" s="35"/>
      <c r="E53" s="35"/>
      <c r="F53" s="35" t="s">
        <v>294</v>
      </c>
      <c r="G53" s="136">
        <v>2023</v>
      </c>
      <c r="H53" s="36">
        <v>8550000</v>
      </c>
      <c r="I53" s="36">
        <v>700000</v>
      </c>
      <c r="J53" s="36">
        <f t="shared" si="6"/>
        <v>9250000</v>
      </c>
      <c r="K53" s="36"/>
      <c r="L53" s="36">
        <f t="shared" si="7"/>
        <v>9250000</v>
      </c>
      <c r="M53" s="36">
        <v>7749299</v>
      </c>
      <c r="N53" s="36">
        <v>-3000000</v>
      </c>
      <c r="O53" s="36">
        <v>525921</v>
      </c>
      <c r="P53" s="36">
        <f t="shared" si="4"/>
        <v>5275220</v>
      </c>
      <c r="Q53" s="36"/>
      <c r="R53" s="36">
        <f t="shared" si="8"/>
        <v>5275220</v>
      </c>
      <c r="S53" s="36">
        <v>3700000</v>
      </c>
      <c r="T53" s="36"/>
      <c r="U53" s="36"/>
      <c r="V53" s="36"/>
      <c r="W53" s="36">
        <v>254400</v>
      </c>
      <c r="X53" s="36">
        <v>8400000</v>
      </c>
      <c r="Y53" s="36">
        <v>300000</v>
      </c>
      <c r="Z53" s="36">
        <v>295600</v>
      </c>
      <c r="AA53" s="36" t="s">
        <v>319</v>
      </c>
      <c r="AB53" s="36" t="s">
        <v>320</v>
      </c>
      <c r="AC53" s="36" t="s">
        <v>321</v>
      </c>
      <c r="AD53" s="36" t="s">
        <v>322</v>
      </c>
      <c r="AE53" s="259"/>
      <c r="AF53" s="257"/>
      <c r="AG53" s="257"/>
      <c r="AH53" s="257"/>
      <c r="AI53" s="257"/>
      <c r="AJ53" s="258"/>
    </row>
    <row r="54" spans="2:36" s="41" customFormat="1" ht="30.6" x14ac:dyDescent="0.25">
      <c r="B54" s="34" t="s">
        <v>54</v>
      </c>
      <c r="C54" s="35"/>
      <c r="D54" s="35"/>
      <c r="E54" s="35"/>
      <c r="F54" s="35" t="s">
        <v>294</v>
      </c>
      <c r="G54" s="127">
        <v>2022</v>
      </c>
      <c r="H54" s="36">
        <v>8170000</v>
      </c>
      <c r="I54" s="36">
        <v>0</v>
      </c>
      <c r="J54" s="36">
        <f t="shared" si="6"/>
        <v>8170000</v>
      </c>
      <c r="K54" s="36"/>
      <c r="L54" s="36">
        <f t="shared" si="7"/>
        <v>8170000</v>
      </c>
      <c r="M54" s="36">
        <v>6936979</v>
      </c>
      <c r="N54" s="36">
        <v>0</v>
      </c>
      <c r="O54" s="36">
        <v>453502</v>
      </c>
      <c r="P54" s="36">
        <f t="shared" si="4"/>
        <v>7390481</v>
      </c>
      <c r="Q54" s="36"/>
      <c r="R54" s="36">
        <f t="shared" si="8"/>
        <v>7390481</v>
      </c>
      <c r="S54" s="36"/>
      <c r="T54" s="36"/>
      <c r="U54" s="36"/>
      <c r="V54" s="36"/>
      <c r="W54" s="36">
        <v>177360</v>
      </c>
      <c r="X54" s="36">
        <v>7400000</v>
      </c>
      <c r="Y54" s="36">
        <v>370000</v>
      </c>
      <c r="Z54" s="36">
        <v>222640</v>
      </c>
      <c r="AA54" s="36" t="s">
        <v>301</v>
      </c>
      <c r="AB54" s="36" t="s">
        <v>323</v>
      </c>
      <c r="AC54" s="36" t="s">
        <v>317</v>
      </c>
      <c r="AD54" s="36" t="s">
        <v>324</v>
      </c>
      <c r="AE54" s="259"/>
      <c r="AF54" s="262"/>
      <c r="AG54" s="262"/>
      <c r="AH54" s="262"/>
      <c r="AI54" s="262"/>
      <c r="AJ54" s="258"/>
    </row>
    <row r="55" spans="2:36" s="41" customFormat="1" ht="30.6" x14ac:dyDescent="0.25">
      <c r="B55" s="34" t="s">
        <v>55</v>
      </c>
      <c r="C55" s="35"/>
      <c r="D55" s="35"/>
      <c r="E55" s="35"/>
      <c r="F55" s="35" t="s">
        <v>325</v>
      </c>
      <c r="G55" s="127">
        <v>2022</v>
      </c>
      <c r="H55" s="36">
        <v>3490000</v>
      </c>
      <c r="I55" s="36">
        <v>0</v>
      </c>
      <c r="J55" s="36">
        <f t="shared" si="6"/>
        <v>3490000</v>
      </c>
      <c r="K55" s="36"/>
      <c r="L55" s="36">
        <f t="shared" si="7"/>
        <v>3490000</v>
      </c>
      <c r="M55" s="36">
        <v>2379778</v>
      </c>
      <c r="N55" s="36">
        <v>0</v>
      </c>
      <c r="O55" s="36">
        <v>819104</v>
      </c>
      <c r="P55" s="36">
        <f t="shared" si="4"/>
        <v>3198882</v>
      </c>
      <c r="Q55" s="36"/>
      <c r="R55" s="36">
        <f t="shared" si="8"/>
        <v>3198882</v>
      </c>
      <c r="S55" s="36"/>
      <c r="T55" s="36"/>
      <c r="U55" s="36"/>
      <c r="V55" s="36"/>
      <c r="W55" s="36">
        <v>133800</v>
      </c>
      <c r="X55" s="36">
        <v>2990000</v>
      </c>
      <c r="Y55" s="36">
        <v>200000</v>
      </c>
      <c r="Z55" s="36">
        <v>166200</v>
      </c>
      <c r="AA55" s="36" t="s">
        <v>301</v>
      </c>
      <c r="AB55" s="36" t="s">
        <v>323</v>
      </c>
      <c r="AC55" s="36" t="s">
        <v>317</v>
      </c>
      <c r="AD55" s="36" t="s">
        <v>326</v>
      </c>
      <c r="AE55" s="259"/>
      <c r="AF55" s="262"/>
      <c r="AG55" s="262"/>
      <c r="AH55" s="262"/>
      <c r="AI55" s="262"/>
      <c r="AJ55" s="258"/>
    </row>
    <row r="56" spans="2:36" s="41" customFormat="1" ht="102" x14ac:dyDescent="0.25">
      <c r="B56" s="34" t="s">
        <v>56</v>
      </c>
      <c r="C56" s="35"/>
      <c r="D56" s="35"/>
      <c r="E56" s="35"/>
      <c r="F56" s="35" t="s">
        <v>312</v>
      </c>
      <c r="G56" s="137">
        <v>2024</v>
      </c>
      <c r="H56" s="36">
        <v>8020000</v>
      </c>
      <c r="I56" s="36">
        <v>1200000</v>
      </c>
      <c r="J56" s="36">
        <f t="shared" si="6"/>
        <v>9220000</v>
      </c>
      <c r="K56" s="36"/>
      <c r="L56" s="36">
        <f t="shared" si="7"/>
        <v>9220000</v>
      </c>
      <c r="M56" s="36">
        <v>1856164</v>
      </c>
      <c r="N56" s="36">
        <v>-1556164</v>
      </c>
      <c r="O56" s="36">
        <v>276665</v>
      </c>
      <c r="P56" s="36">
        <f t="shared" si="4"/>
        <v>576665</v>
      </c>
      <c r="Q56" s="36"/>
      <c r="R56" s="36">
        <f t="shared" si="8"/>
        <v>576665</v>
      </c>
      <c r="S56" s="36">
        <v>7330000</v>
      </c>
      <c r="T56" s="36">
        <v>1200000</v>
      </c>
      <c r="U56" s="36"/>
      <c r="V56" s="36"/>
      <c r="W56" s="36">
        <v>252000</v>
      </c>
      <c r="X56" s="36">
        <v>8400000</v>
      </c>
      <c r="Y56" s="36">
        <v>400000</v>
      </c>
      <c r="Z56" s="36">
        <v>168000</v>
      </c>
      <c r="AA56" s="138" t="s">
        <v>307</v>
      </c>
      <c r="AB56" s="138" t="s">
        <v>327</v>
      </c>
      <c r="AC56" s="138" t="s">
        <v>328</v>
      </c>
      <c r="AD56" s="36" t="s">
        <v>329</v>
      </c>
      <c r="AE56" s="259"/>
      <c r="AF56" s="262"/>
      <c r="AG56" s="262"/>
      <c r="AH56" s="262"/>
      <c r="AI56" s="262"/>
      <c r="AJ56" s="258"/>
    </row>
    <row r="57" spans="2:36" s="41" customFormat="1" ht="61.2" x14ac:dyDescent="0.25">
      <c r="B57" s="34" t="s">
        <v>57</v>
      </c>
      <c r="C57" s="35"/>
      <c r="D57" s="35"/>
      <c r="E57" s="35"/>
      <c r="F57" s="35" t="s">
        <v>288</v>
      </c>
      <c r="G57" s="137">
        <v>2023</v>
      </c>
      <c r="H57" s="36">
        <v>3600000</v>
      </c>
      <c r="I57" s="36">
        <v>2400000</v>
      </c>
      <c r="J57" s="36">
        <f t="shared" si="6"/>
        <v>6000000</v>
      </c>
      <c r="K57" s="36"/>
      <c r="L57" s="36">
        <f t="shared" si="7"/>
        <v>6000000</v>
      </c>
      <c r="M57" s="36">
        <v>1710000</v>
      </c>
      <c r="N57" s="36">
        <v>0</v>
      </c>
      <c r="O57" s="36">
        <v>197528</v>
      </c>
      <c r="P57" s="36">
        <f t="shared" si="4"/>
        <v>1907528</v>
      </c>
      <c r="Q57" s="36"/>
      <c r="R57" s="36">
        <f t="shared" si="8"/>
        <v>1907528</v>
      </c>
      <c r="S57" s="36">
        <v>3600000</v>
      </c>
      <c r="T57" s="36"/>
      <c r="U57" s="36"/>
      <c r="V57" s="36"/>
      <c r="W57" s="36">
        <v>170000</v>
      </c>
      <c r="X57" s="36">
        <v>5130000</v>
      </c>
      <c r="Y57" s="36">
        <v>200000</v>
      </c>
      <c r="Z57" s="36">
        <v>100000</v>
      </c>
      <c r="AA57" s="138" t="s">
        <v>307</v>
      </c>
      <c r="AB57" s="138" t="s">
        <v>330</v>
      </c>
      <c r="AC57" s="138" t="s">
        <v>321</v>
      </c>
      <c r="AD57" s="36" t="s">
        <v>499</v>
      </c>
      <c r="AE57" s="259"/>
      <c r="AF57" s="262"/>
      <c r="AG57" s="262"/>
      <c r="AH57" s="262"/>
      <c r="AI57" s="262"/>
      <c r="AJ57" s="258"/>
    </row>
    <row r="58" spans="2:36" s="41" customFormat="1" ht="71.400000000000006" x14ac:dyDescent="0.25">
      <c r="B58" s="34" t="s">
        <v>58</v>
      </c>
      <c r="C58" s="35"/>
      <c r="D58" s="35"/>
      <c r="E58" s="35"/>
      <c r="F58" s="35" t="s">
        <v>331</v>
      </c>
      <c r="G58" s="137">
        <v>2023</v>
      </c>
      <c r="H58" s="36">
        <v>7470000</v>
      </c>
      <c r="I58" s="36">
        <v>1120000</v>
      </c>
      <c r="J58" s="36">
        <f t="shared" si="6"/>
        <v>8590000</v>
      </c>
      <c r="K58" s="36"/>
      <c r="L58" s="36">
        <f t="shared" si="7"/>
        <v>8590000</v>
      </c>
      <c r="M58" s="36">
        <v>4105500</v>
      </c>
      <c r="N58" s="36">
        <v>-3000000</v>
      </c>
      <c r="O58" s="36">
        <v>27190</v>
      </c>
      <c r="P58" s="36">
        <f t="shared" si="4"/>
        <v>1132690</v>
      </c>
      <c r="Q58" s="36"/>
      <c r="R58" s="36">
        <f t="shared" si="8"/>
        <v>1132690</v>
      </c>
      <c r="S58" s="36">
        <f>3174500+3000000+K58</f>
        <v>6174500</v>
      </c>
      <c r="T58" s="36"/>
      <c r="U58" s="36"/>
      <c r="V58" s="36"/>
      <c r="W58" s="36">
        <v>361800</v>
      </c>
      <c r="X58" s="36">
        <f>6538200+K58</f>
        <v>6538200</v>
      </c>
      <c r="Y58" s="36">
        <v>300000</v>
      </c>
      <c r="Z58" s="36">
        <v>270000</v>
      </c>
      <c r="AA58" s="138" t="s">
        <v>307</v>
      </c>
      <c r="AB58" s="138" t="s">
        <v>330</v>
      </c>
      <c r="AC58" s="138" t="s">
        <v>321</v>
      </c>
      <c r="AD58" s="36" t="s">
        <v>332</v>
      </c>
      <c r="AE58" s="259"/>
      <c r="AF58" s="262"/>
      <c r="AG58" s="262"/>
      <c r="AH58" s="262"/>
      <c r="AI58" s="262"/>
      <c r="AJ58" s="258"/>
    </row>
    <row r="59" spans="2:36" s="41" customFormat="1" ht="30.6" x14ac:dyDescent="0.25">
      <c r="B59" s="34" t="s">
        <v>59</v>
      </c>
      <c r="C59" s="35"/>
      <c r="D59" s="35"/>
      <c r="E59" s="35"/>
      <c r="F59" s="35" t="s">
        <v>333</v>
      </c>
      <c r="G59" s="139">
        <v>2024</v>
      </c>
      <c r="H59" s="36">
        <v>7350000</v>
      </c>
      <c r="I59" s="36">
        <v>0</v>
      </c>
      <c r="J59" s="36">
        <f t="shared" si="6"/>
        <v>7350000</v>
      </c>
      <c r="K59" s="36">
        <v>1100000</v>
      </c>
      <c r="L59" s="36">
        <f t="shared" si="7"/>
        <v>8450000</v>
      </c>
      <c r="M59" s="36">
        <v>100000</v>
      </c>
      <c r="N59" s="36">
        <v>0</v>
      </c>
      <c r="O59" s="36">
        <v>190000</v>
      </c>
      <c r="P59" s="36">
        <f t="shared" si="4"/>
        <v>290000</v>
      </c>
      <c r="Q59" s="36"/>
      <c r="R59" s="36">
        <f t="shared" si="8"/>
        <v>290000</v>
      </c>
      <c r="S59" s="36">
        <v>4000000</v>
      </c>
      <c r="T59" s="36">
        <v>4160000</v>
      </c>
      <c r="U59" s="36"/>
      <c r="V59" s="36"/>
      <c r="W59" s="36">
        <v>359000</v>
      </c>
      <c r="X59" s="36">
        <f>L59-W59-Y59-Z59</f>
        <v>7491000</v>
      </c>
      <c r="Y59" s="36">
        <v>400000</v>
      </c>
      <c r="Z59" s="36">
        <v>200000</v>
      </c>
      <c r="AA59" s="36" t="s">
        <v>334</v>
      </c>
      <c r="AB59" s="36" t="s">
        <v>290</v>
      </c>
      <c r="AC59" s="36" t="s">
        <v>335</v>
      </c>
      <c r="AD59" s="36" t="s">
        <v>336</v>
      </c>
      <c r="AE59" s="259"/>
      <c r="AF59" s="262"/>
      <c r="AG59" s="262"/>
      <c r="AH59" s="262"/>
      <c r="AI59" s="262"/>
      <c r="AJ59" s="258"/>
    </row>
    <row r="60" spans="2:36" s="41" customFormat="1" ht="61.2" x14ac:dyDescent="0.25">
      <c r="B60" s="34" t="s">
        <v>60</v>
      </c>
      <c r="C60" s="35"/>
      <c r="D60" s="35"/>
      <c r="E60" s="35"/>
      <c r="F60" s="35" t="s">
        <v>294</v>
      </c>
      <c r="G60" s="139">
        <v>2024</v>
      </c>
      <c r="H60" s="36">
        <v>7450000</v>
      </c>
      <c r="I60" s="36">
        <v>0</v>
      </c>
      <c r="J60" s="36">
        <f t="shared" si="6"/>
        <v>7450000</v>
      </c>
      <c r="K60" s="36">
        <v>1050000</v>
      </c>
      <c r="L60" s="36">
        <f t="shared" si="7"/>
        <v>8500000</v>
      </c>
      <c r="M60" s="36">
        <v>400000</v>
      </c>
      <c r="N60" s="36">
        <v>-400000</v>
      </c>
      <c r="O60" s="36">
        <v>388812</v>
      </c>
      <c r="P60" s="36">
        <f t="shared" si="4"/>
        <v>388812</v>
      </c>
      <c r="Q60" s="36"/>
      <c r="R60" s="36">
        <f t="shared" si="8"/>
        <v>388812</v>
      </c>
      <c r="S60" s="36">
        <v>4000000</v>
      </c>
      <c r="T60" s="36">
        <v>4010000</v>
      </c>
      <c r="U60" s="36"/>
      <c r="V60" s="36"/>
      <c r="W60" s="36">
        <v>480000</v>
      </c>
      <c r="X60" s="36">
        <v>7220000</v>
      </c>
      <c r="Y60" s="36">
        <v>500000</v>
      </c>
      <c r="Z60" s="36">
        <v>300000</v>
      </c>
      <c r="AA60" s="36" t="s">
        <v>308</v>
      </c>
      <c r="AB60" s="36" t="s">
        <v>290</v>
      </c>
      <c r="AC60" s="36" t="s">
        <v>335</v>
      </c>
      <c r="AD60" s="36" t="s">
        <v>337</v>
      </c>
      <c r="AE60" s="259"/>
      <c r="AF60" s="262"/>
      <c r="AG60" s="262"/>
      <c r="AH60" s="262"/>
      <c r="AI60" s="262"/>
      <c r="AJ60" s="258"/>
    </row>
    <row r="61" spans="2:36" s="41" customFormat="1" ht="30.6" x14ac:dyDescent="0.25">
      <c r="B61" s="34" t="s">
        <v>61</v>
      </c>
      <c r="C61" s="35"/>
      <c r="D61" s="35"/>
      <c r="E61" s="35"/>
      <c r="F61" s="35" t="s">
        <v>325</v>
      </c>
      <c r="G61" s="139">
        <v>2024</v>
      </c>
      <c r="H61" s="36">
        <v>8090000</v>
      </c>
      <c r="I61" s="36">
        <v>0</v>
      </c>
      <c r="J61" s="36">
        <f t="shared" si="6"/>
        <v>8090000</v>
      </c>
      <c r="K61" s="36">
        <v>1210000</v>
      </c>
      <c r="L61" s="36">
        <f t="shared" si="7"/>
        <v>9300000</v>
      </c>
      <c r="M61" s="36">
        <v>185000</v>
      </c>
      <c r="N61" s="36">
        <v>0</v>
      </c>
      <c r="O61" s="36">
        <v>288248</v>
      </c>
      <c r="P61" s="36">
        <f t="shared" si="4"/>
        <v>473248</v>
      </c>
      <c r="Q61" s="36"/>
      <c r="R61" s="36">
        <f t="shared" si="8"/>
        <v>473248</v>
      </c>
      <c r="S61" s="36">
        <f>3500000+1210000</f>
        <v>4710000</v>
      </c>
      <c r="T61" s="36">
        <v>4115000</v>
      </c>
      <c r="U61" s="36"/>
      <c r="V61" s="36"/>
      <c r="W61" s="36">
        <v>140000</v>
      </c>
      <c r="X61" s="36">
        <f>7300000+1210000</f>
        <v>8510000</v>
      </c>
      <c r="Y61" s="36">
        <v>450000</v>
      </c>
      <c r="Z61" s="36">
        <v>200000</v>
      </c>
      <c r="AA61" s="36" t="s">
        <v>308</v>
      </c>
      <c r="AB61" s="36" t="s">
        <v>290</v>
      </c>
      <c r="AC61" s="36" t="s">
        <v>335</v>
      </c>
      <c r="AD61" s="36" t="s">
        <v>338</v>
      </c>
      <c r="AE61" s="259"/>
      <c r="AF61" s="262"/>
      <c r="AG61" s="262"/>
      <c r="AH61" s="262"/>
      <c r="AI61" s="262"/>
      <c r="AJ61" s="258"/>
    </row>
    <row r="62" spans="2:36" s="41" customFormat="1" ht="51" x14ac:dyDescent="0.25">
      <c r="B62" s="34" t="s">
        <v>62</v>
      </c>
      <c r="C62" s="35"/>
      <c r="D62" s="35"/>
      <c r="E62" s="35"/>
      <c r="F62" s="35" t="s">
        <v>331</v>
      </c>
      <c r="G62" s="139">
        <v>2024</v>
      </c>
      <c r="H62" s="36">
        <v>6000000</v>
      </c>
      <c r="I62" s="36">
        <v>0</v>
      </c>
      <c r="J62" s="36">
        <f t="shared" si="6"/>
        <v>6000000</v>
      </c>
      <c r="K62" s="36">
        <v>1050000</v>
      </c>
      <c r="L62" s="36">
        <f t="shared" si="7"/>
        <v>7050000</v>
      </c>
      <c r="M62" s="36">
        <v>20000</v>
      </c>
      <c r="N62" s="36">
        <v>0</v>
      </c>
      <c r="O62" s="36">
        <v>150679</v>
      </c>
      <c r="P62" s="36">
        <f t="shared" si="4"/>
        <v>170679</v>
      </c>
      <c r="Q62" s="36"/>
      <c r="R62" s="36">
        <f t="shared" si="8"/>
        <v>170679</v>
      </c>
      <c r="S62" s="36">
        <v>4000000</v>
      </c>
      <c r="T62" s="36">
        <v>2838404</v>
      </c>
      <c r="U62" s="36"/>
      <c r="V62" s="36"/>
      <c r="W62" s="36">
        <v>224000</v>
      </c>
      <c r="X62" s="36">
        <v>6426000</v>
      </c>
      <c r="Y62" s="36">
        <v>300000</v>
      </c>
      <c r="Z62" s="36">
        <v>100000</v>
      </c>
      <c r="AA62" s="138" t="s">
        <v>307</v>
      </c>
      <c r="AB62" s="36" t="s">
        <v>290</v>
      </c>
      <c r="AC62" s="36" t="s">
        <v>335</v>
      </c>
      <c r="AD62" s="36" t="s">
        <v>339</v>
      </c>
      <c r="AE62" s="259"/>
      <c r="AF62" s="262"/>
      <c r="AG62" s="262"/>
      <c r="AH62" s="262"/>
      <c r="AI62" s="262"/>
      <c r="AJ62" s="258"/>
    </row>
    <row r="63" spans="2:36" s="41" customFormat="1" ht="30.6" x14ac:dyDescent="0.25">
      <c r="B63" s="34" t="s">
        <v>63</v>
      </c>
      <c r="C63" s="35"/>
      <c r="D63" s="35"/>
      <c r="E63" s="35"/>
      <c r="F63" s="35" t="s">
        <v>340</v>
      </c>
      <c r="G63" s="140" t="s">
        <v>341</v>
      </c>
      <c r="H63" s="36">
        <v>7560000</v>
      </c>
      <c r="I63" s="36">
        <v>0</v>
      </c>
      <c r="J63" s="36">
        <f t="shared" si="6"/>
        <v>7560000</v>
      </c>
      <c r="K63" s="36"/>
      <c r="L63" s="36">
        <f t="shared" si="7"/>
        <v>7560000</v>
      </c>
      <c r="M63" s="36">
        <v>190000</v>
      </c>
      <c r="N63" s="36">
        <v>0</v>
      </c>
      <c r="O63" s="36"/>
      <c r="P63" s="36">
        <f t="shared" si="4"/>
        <v>190000</v>
      </c>
      <c r="Q63" s="36"/>
      <c r="R63" s="36">
        <f t="shared" si="8"/>
        <v>190000</v>
      </c>
      <c r="S63" s="36"/>
      <c r="T63" s="36">
        <v>4000000</v>
      </c>
      <c r="U63" s="36">
        <v>3355037</v>
      </c>
      <c r="V63" s="36"/>
      <c r="W63" s="36">
        <v>150000</v>
      </c>
      <c r="X63" s="36">
        <v>6910000</v>
      </c>
      <c r="Y63" s="36">
        <v>300000</v>
      </c>
      <c r="Z63" s="36">
        <v>200000</v>
      </c>
      <c r="AA63" s="178" t="s">
        <v>342</v>
      </c>
      <c r="AB63" s="36" t="s">
        <v>343</v>
      </c>
      <c r="AC63" s="36" t="s">
        <v>297</v>
      </c>
      <c r="AD63" s="36" t="s">
        <v>344</v>
      </c>
      <c r="AE63" s="259"/>
      <c r="AF63" s="262"/>
      <c r="AG63" s="262"/>
      <c r="AH63" s="262"/>
      <c r="AI63" s="262"/>
      <c r="AJ63" s="258"/>
    </row>
    <row r="64" spans="2:36" s="41" customFormat="1" ht="40.799999999999997" x14ac:dyDescent="0.25">
      <c r="B64" s="34" t="s">
        <v>64</v>
      </c>
      <c r="C64" s="35"/>
      <c r="D64" s="35"/>
      <c r="E64" s="35"/>
      <c r="F64" s="35" t="s">
        <v>312</v>
      </c>
      <c r="G64" s="141" t="s">
        <v>345</v>
      </c>
      <c r="H64" s="36">
        <v>8190000</v>
      </c>
      <c r="I64" s="36">
        <v>0</v>
      </c>
      <c r="J64" s="36">
        <f t="shared" si="6"/>
        <v>8190000</v>
      </c>
      <c r="K64" s="36"/>
      <c r="L64" s="36">
        <f t="shared" si="7"/>
        <v>8190000</v>
      </c>
      <c r="M64" s="36">
        <v>90000</v>
      </c>
      <c r="N64" s="36">
        <v>0</v>
      </c>
      <c r="O64" s="36"/>
      <c r="P64" s="36">
        <f t="shared" si="4"/>
        <v>90000</v>
      </c>
      <c r="Q64" s="36"/>
      <c r="R64" s="36">
        <f t="shared" si="8"/>
        <v>90000</v>
      </c>
      <c r="S64" s="36"/>
      <c r="T64" s="36"/>
      <c r="U64" s="36">
        <v>4500000</v>
      </c>
      <c r="V64" s="36">
        <v>3600000</v>
      </c>
      <c r="W64" s="36">
        <v>85000</v>
      </c>
      <c r="X64" s="36">
        <v>7500000</v>
      </c>
      <c r="Y64" s="36">
        <v>400000</v>
      </c>
      <c r="Z64" s="36">
        <v>205000</v>
      </c>
      <c r="AA64" s="36" t="s">
        <v>346</v>
      </c>
      <c r="AB64" s="36" t="s">
        <v>347</v>
      </c>
      <c r="AC64" s="36" t="s">
        <v>348</v>
      </c>
      <c r="AD64" s="36" t="s">
        <v>349</v>
      </c>
      <c r="AE64" s="259"/>
      <c r="AF64" s="262"/>
      <c r="AG64" s="262"/>
      <c r="AH64" s="262"/>
      <c r="AI64" s="262"/>
      <c r="AJ64" s="258"/>
    </row>
    <row r="65" spans="2:36" s="41" customFormat="1" ht="30.6" x14ac:dyDescent="0.25">
      <c r="B65" s="34" t="s">
        <v>65</v>
      </c>
      <c r="C65" s="35"/>
      <c r="D65" s="35"/>
      <c r="E65" s="35"/>
      <c r="F65" s="35" t="s">
        <v>312</v>
      </c>
      <c r="G65" s="142" t="s">
        <v>350</v>
      </c>
      <c r="H65" s="36">
        <v>8020000</v>
      </c>
      <c r="I65" s="36">
        <v>0</v>
      </c>
      <c r="J65" s="36">
        <f t="shared" si="6"/>
        <v>8020000</v>
      </c>
      <c r="K65" s="36"/>
      <c r="L65" s="36">
        <f t="shared" si="7"/>
        <v>8020000</v>
      </c>
      <c r="M65" s="36">
        <v>90000</v>
      </c>
      <c r="N65" s="36">
        <v>0</v>
      </c>
      <c r="O65" s="36"/>
      <c r="P65" s="36">
        <f t="shared" si="4"/>
        <v>90000</v>
      </c>
      <c r="Q65" s="36"/>
      <c r="R65" s="36">
        <f t="shared" si="8"/>
        <v>90000</v>
      </c>
      <c r="S65" s="36"/>
      <c r="T65" s="36"/>
      <c r="U65" s="36"/>
      <c r="V65" s="36">
        <v>4500000</v>
      </c>
      <c r="W65" s="36">
        <v>85000</v>
      </c>
      <c r="X65" s="36">
        <v>7330000</v>
      </c>
      <c r="Y65" s="36">
        <v>400000</v>
      </c>
      <c r="Z65" s="36">
        <v>205000</v>
      </c>
      <c r="AA65" s="36" t="s">
        <v>38</v>
      </c>
      <c r="AB65" s="36" t="s">
        <v>351</v>
      </c>
      <c r="AC65" s="36" t="s">
        <v>352</v>
      </c>
      <c r="AD65" s="36" t="s">
        <v>353</v>
      </c>
      <c r="AE65" s="259"/>
      <c r="AF65" s="262"/>
      <c r="AG65" s="262"/>
      <c r="AH65" s="262"/>
      <c r="AI65" s="262"/>
      <c r="AJ65" s="258"/>
    </row>
    <row r="66" spans="2:36" s="41" customFormat="1" ht="51" x14ac:dyDescent="0.25">
      <c r="B66" s="34" t="s">
        <v>354</v>
      </c>
      <c r="C66" s="35"/>
      <c r="D66" s="35"/>
      <c r="E66" s="35"/>
      <c r="F66" s="35" t="s">
        <v>340</v>
      </c>
      <c r="G66" s="143">
        <v>2023</v>
      </c>
      <c r="H66" s="36">
        <v>7470000</v>
      </c>
      <c r="I66" s="36">
        <v>1120000</v>
      </c>
      <c r="J66" s="36">
        <f t="shared" si="6"/>
        <v>8590000</v>
      </c>
      <c r="K66" s="36"/>
      <c r="L66" s="36">
        <f t="shared" si="7"/>
        <v>8590000</v>
      </c>
      <c r="M66" s="36">
        <v>200000</v>
      </c>
      <c r="N66" s="36">
        <v>0</v>
      </c>
      <c r="O66" s="36"/>
      <c r="P66" s="36">
        <f t="shared" si="4"/>
        <v>200000</v>
      </c>
      <c r="Q66" s="36"/>
      <c r="R66" s="36">
        <f t="shared" si="8"/>
        <v>200000</v>
      </c>
      <c r="S66" s="36">
        <v>5351525</v>
      </c>
      <c r="T66" s="36"/>
      <c r="U66" s="36"/>
      <c r="V66" s="36"/>
      <c r="W66" s="36">
        <v>150000</v>
      </c>
      <c r="X66" s="36">
        <v>7890000</v>
      </c>
      <c r="Y66" s="36">
        <v>300000</v>
      </c>
      <c r="Z66" s="36">
        <v>250000</v>
      </c>
      <c r="AA66" s="178" t="s">
        <v>342</v>
      </c>
      <c r="AB66" s="36" t="s">
        <v>355</v>
      </c>
      <c r="AC66" s="36" t="s">
        <v>39</v>
      </c>
      <c r="AD66" s="36" t="s">
        <v>356</v>
      </c>
      <c r="AE66" s="259"/>
      <c r="AF66" s="262"/>
      <c r="AG66" s="262"/>
      <c r="AH66" s="262"/>
      <c r="AI66" s="262"/>
      <c r="AJ66" s="258"/>
    </row>
    <row r="67" spans="2:36" s="41" customFormat="1" ht="30.6" x14ac:dyDescent="0.25">
      <c r="B67" s="34" t="s">
        <v>66</v>
      </c>
      <c r="C67" s="35"/>
      <c r="D67" s="35"/>
      <c r="E67" s="35"/>
      <c r="F67" s="35" t="s">
        <v>325</v>
      </c>
      <c r="G67" s="140" t="s">
        <v>341</v>
      </c>
      <c r="H67" s="36">
        <v>7520000</v>
      </c>
      <c r="I67" s="36">
        <v>0</v>
      </c>
      <c r="J67" s="36">
        <f t="shared" si="6"/>
        <v>7520000</v>
      </c>
      <c r="K67" s="36"/>
      <c r="L67" s="36">
        <f t="shared" si="7"/>
        <v>7520000</v>
      </c>
      <c r="M67" s="36">
        <v>100000</v>
      </c>
      <c r="N67" s="36">
        <v>0</v>
      </c>
      <c r="O67" s="36"/>
      <c r="P67" s="36">
        <f t="shared" si="4"/>
        <v>100000</v>
      </c>
      <c r="Q67" s="206"/>
      <c r="R67" s="206">
        <f t="shared" si="8"/>
        <v>100000</v>
      </c>
      <c r="T67" s="36">
        <v>3200000</v>
      </c>
      <c r="U67" s="36">
        <f>L67-S68-T67-P67</f>
        <v>4220000</v>
      </c>
      <c r="V67" s="36"/>
      <c r="W67" s="36">
        <v>400000</v>
      </c>
      <c r="X67" s="36">
        <f>L67-W67-Y67-Z67</f>
        <v>6520000</v>
      </c>
      <c r="Y67" s="36">
        <v>400000</v>
      </c>
      <c r="Z67" s="36">
        <v>200000</v>
      </c>
      <c r="AA67" s="36" t="s">
        <v>330</v>
      </c>
      <c r="AB67" s="36" t="s">
        <v>296</v>
      </c>
      <c r="AC67" s="36" t="s">
        <v>297</v>
      </c>
      <c r="AD67" s="36" t="s">
        <v>500</v>
      </c>
      <c r="AE67" s="259"/>
      <c r="AF67" s="262"/>
      <c r="AG67" s="262"/>
      <c r="AH67" s="262"/>
      <c r="AI67" s="262"/>
      <c r="AJ67" s="258"/>
    </row>
    <row r="68" spans="2:36" s="41" customFormat="1" x14ac:dyDescent="0.25">
      <c r="B68" s="34" t="s">
        <v>67</v>
      </c>
      <c r="C68" s="35"/>
      <c r="D68" s="35"/>
      <c r="E68" s="35"/>
      <c r="F68" s="35" t="s">
        <v>325</v>
      </c>
      <c r="G68" s="141">
        <v>2026</v>
      </c>
      <c r="H68" s="36">
        <v>7320000</v>
      </c>
      <c r="I68" s="36">
        <v>0</v>
      </c>
      <c r="J68" s="36">
        <f t="shared" si="6"/>
        <v>7320000</v>
      </c>
      <c r="K68" s="36"/>
      <c r="L68" s="36">
        <f t="shared" si="7"/>
        <v>7320000</v>
      </c>
      <c r="M68" s="36">
        <v>190000</v>
      </c>
      <c r="N68" s="36">
        <v>0</v>
      </c>
      <c r="O68" s="36"/>
      <c r="P68" s="36">
        <f t="shared" si="4"/>
        <v>190000</v>
      </c>
      <c r="Q68" s="36"/>
      <c r="R68" s="36">
        <f t="shared" si="8"/>
        <v>190000</v>
      </c>
      <c r="S68" s="36"/>
      <c r="T68" s="36"/>
      <c r="U68" s="36"/>
      <c r="V68" s="36">
        <v>3000000</v>
      </c>
      <c r="W68" s="36">
        <v>130000</v>
      </c>
      <c r="X68" s="36">
        <v>6490000</v>
      </c>
      <c r="Y68" s="36">
        <v>450000</v>
      </c>
      <c r="Z68" s="36">
        <v>250000</v>
      </c>
      <c r="AA68" s="36" t="s">
        <v>357</v>
      </c>
      <c r="AB68" s="36" t="s">
        <v>358</v>
      </c>
      <c r="AC68" s="36" t="s">
        <v>359</v>
      </c>
      <c r="AD68" s="36" t="s">
        <v>360</v>
      </c>
      <c r="AE68" s="259"/>
      <c r="AF68" s="262"/>
      <c r="AG68" s="262"/>
      <c r="AH68" s="262"/>
      <c r="AI68" s="262"/>
      <c r="AJ68" s="258"/>
    </row>
    <row r="69" spans="2:36" s="41" customFormat="1" x14ac:dyDescent="0.25">
      <c r="B69" s="34" t="s">
        <v>68</v>
      </c>
      <c r="C69" s="35"/>
      <c r="D69" s="35"/>
      <c r="E69" s="35"/>
      <c r="F69" s="35" t="s">
        <v>325</v>
      </c>
      <c r="G69" s="141" t="s">
        <v>345</v>
      </c>
      <c r="H69" s="36">
        <v>7560000</v>
      </c>
      <c r="I69" s="206">
        <v>0</v>
      </c>
      <c r="J69" s="206">
        <f t="shared" si="6"/>
        <v>7560000</v>
      </c>
      <c r="L69" s="36">
        <f t="shared" si="7"/>
        <v>7560000</v>
      </c>
      <c r="M69" s="36">
        <v>190000</v>
      </c>
      <c r="N69" s="36">
        <v>0</v>
      </c>
      <c r="O69" s="36"/>
      <c r="P69" s="36">
        <f t="shared" si="4"/>
        <v>190000</v>
      </c>
      <c r="Q69" s="36"/>
      <c r="R69" s="36">
        <f t="shared" si="8"/>
        <v>190000</v>
      </c>
      <c r="S69" s="36"/>
      <c r="T69" s="36"/>
      <c r="U69" s="36">
        <v>3370000</v>
      </c>
      <c r="V69" s="36">
        <v>4000000</v>
      </c>
      <c r="W69" s="36">
        <v>130000</v>
      </c>
      <c r="X69" s="36">
        <v>6730000</v>
      </c>
      <c r="Y69" s="36">
        <v>450000</v>
      </c>
      <c r="Z69" s="36">
        <v>250000</v>
      </c>
      <c r="AA69" s="36" t="s">
        <v>295</v>
      </c>
      <c r="AB69" s="36" t="s">
        <v>361</v>
      </c>
      <c r="AC69" s="36" t="s">
        <v>362</v>
      </c>
      <c r="AD69" s="36" t="s">
        <v>360</v>
      </c>
      <c r="AE69" s="259"/>
      <c r="AF69" s="262"/>
      <c r="AG69" s="262"/>
      <c r="AH69" s="262"/>
      <c r="AI69" s="262"/>
      <c r="AJ69" s="258"/>
    </row>
    <row r="70" spans="2:36" s="41" customFormat="1" x14ac:dyDescent="0.25">
      <c r="B70" s="34" t="s">
        <v>69</v>
      </c>
      <c r="C70" s="35"/>
      <c r="D70" s="35"/>
      <c r="E70" s="35"/>
      <c r="F70" s="35" t="s">
        <v>325</v>
      </c>
      <c r="G70" s="140" t="s">
        <v>341</v>
      </c>
      <c r="H70" s="36">
        <v>7320000</v>
      </c>
      <c r="I70" s="36">
        <v>0</v>
      </c>
      <c r="J70" s="36">
        <f t="shared" si="6"/>
        <v>7320000</v>
      </c>
      <c r="K70" s="36"/>
      <c r="L70" s="36">
        <f t="shared" si="7"/>
        <v>7320000</v>
      </c>
      <c r="M70" s="36">
        <v>190000</v>
      </c>
      <c r="N70" s="36">
        <v>0</v>
      </c>
      <c r="O70" s="36"/>
      <c r="P70" s="36">
        <f t="shared" ref="P70:P133" si="36">M70+N70+O70</f>
        <v>190000</v>
      </c>
      <c r="Q70" s="36"/>
      <c r="R70" s="36">
        <f t="shared" si="8"/>
        <v>190000</v>
      </c>
      <c r="S70" s="36"/>
      <c r="T70" s="36">
        <v>3130000</v>
      </c>
      <c r="U70" s="36">
        <v>5100000</v>
      </c>
      <c r="V70" s="36"/>
      <c r="W70" s="36">
        <v>130000</v>
      </c>
      <c r="X70" s="36">
        <v>7750000</v>
      </c>
      <c r="Y70" s="36">
        <v>450000</v>
      </c>
      <c r="Z70" s="36">
        <v>225000</v>
      </c>
      <c r="AA70" s="36" t="s">
        <v>295</v>
      </c>
      <c r="AB70" s="36" t="s">
        <v>343</v>
      </c>
      <c r="AC70" s="36" t="s">
        <v>297</v>
      </c>
      <c r="AD70" s="36" t="s">
        <v>360</v>
      </c>
      <c r="AE70" s="259"/>
      <c r="AF70" s="262"/>
      <c r="AG70" s="262"/>
      <c r="AH70" s="262"/>
      <c r="AI70" s="262"/>
      <c r="AJ70" s="258"/>
    </row>
    <row r="71" spans="2:36" s="41" customFormat="1" ht="30.6" x14ac:dyDescent="0.25">
      <c r="B71" s="34" t="s">
        <v>363</v>
      </c>
      <c r="C71" s="35"/>
      <c r="D71" s="35"/>
      <c r="E71" s="35"/>
      <c r="F71" s="35" t="s">
        <v>333</v>
      </c>
      <c r="G71" s="139" t="s">
        <v>364</v>
      </c>
      <c r="H71" s="36">
        <v>7300000</v>
      </c>
      <c r="I71" s="36">
        <v>0</v>
      </c>
      <c r="J71" s="36">
        <f t="shared" ref="J71:J138" si="37">H71+I71</f>
        <v>7300000</v>
      </c>
      <c r="K71" s="36">
        <v>1100000</v>
      </c>
      <c r="L71" s="36">
        <f t="shared" ref="L71:L138" si="38">J71+K71</f>
        <v>8400000</v>
      </c>
      <c r="M71" s="36">
        <v>230000</v>
      </c>
      <c r="N71" s="36">
        <v>0</v>
      </c>
      <c r="O71" s="36">
        <v>200000</v>
      </c>
      <c r="P71" s="36">
        <f t="shared" si="36"/>
        <v>430000</v>
      </c>
      <c r="Q71" s="36"/>
      <c r="R71" s="36">
        <f t="shared" ref="R71:R134" si="39">P71+Q71</f>
        <v>430000</v>
      </c>
      <c r="S71" s="36"/>
      <c r="T71" s="36"/>
      <c r="U71" s="36"/>
      <c r="V71" s="36"/>
      <c r="W71" s="36">
        <v>96000</v>
      </c>
      <c r="X71" s="36"/>
      <c r="Y71" s="36"/>
      <c r="Z71" s="36"/>
      <c r="AA71" s="36" t="s">
        <v>295</v>
      </c>
      <c r="AB71" s="36"/>
      <c r="AC71" s="36"/>
      <c r="AD71" s="36" t="s">
        <v>365</v>
      </c>
      <c r="AE71" s="259"/>
      <c r="AF71" s="262"/>
      <c r="AG71" s="262"/>
      <c r="AH71" s="262"/>
      <c r="AI71" s="262"/>
      <c r="AJ71" s="258"/>
    </row>
    <row r="72" spans="2:36" s="41" customFormat="1" x14ac:dyDescent="0.25">
      <c r="B72" s="34" t="s">
        <v>70</v>
      </c>
      <c r="C72" s="35"/>
      <c r="D72" s="35"/>
      <c r="E72" s="35"/>
      <c r="F72" s="35" t="s">
        <v>325</v>
      </c>
      <c r="G72" s="142">
        <v>2027</v>
      </c>
      <c r="H72" s="36">
        <v>7480000</v>
      </c>
      <c r="I72" s="36">
        <v>0</v>
      </c>
      <c r="J72" s="36">
        <f t="shared" si="37"/>
        <v>7480000</v>
      </c>
      <c r="K72" s="36"/>
      <c r="L72" s="36">
        <f t="shared" si="38"/>
        <v>7480000</v>
      </c>
      <c r="M72" s="36">
        <v>190000</v>
      </c>
      <c r="N72" s="36">
        <v>0</v>
      </c>
      <c r="O72" s="36"/>
      <c r="P72" s="36">
        <f t="shared" si="36"/>
        <v>190000</v>
      </c>
      <c r="Q72" s="36"/>
      <c r="R72" s="36">
        <f t="shared" si="39"/>
        <v>190000</v>
      </c>
      <c r="S72" s="36"/>
      <c r="T72" s="36"/>
      <c r="U72" s="36"/>
      <c r="V72" s="36">
        <v>3000000</v>
      </c>
      <c r="W72" s="36">
        <v>130000</v>
      </c>
      <c r="X72" s="36">
        <v>6650000</v>
      </c>
      <c r="Y72" s="36">
        <v>450000</v>
      </c>
      <c r="Z72" s="36">
        <v>250000</v>
      </c>
      <c r="AA72" s="36" t="s">
        <v>357</v>
      </c>
      <c r="AB72" s="36" t="s">
        <v>358</v>
      </c>
      <c r="AC72" s="36" t="s">
        <v>359</v>
      </c>
      <c r="AD72" s="36" t="s">
        <v>360</v>
      </c>
      <c r="AE72" s="259"/>
      <c r="AF72" s="262"/>
      <c r="AG72" s="262"/>
      <c r="AH72" s="262"/>
      <c r="AI72" s="262"/>
      <c r="AJ72" s="258"/>
    </row>
    <row r="73" spans="2:36" s="41" customFormat="1" ht="71.400000000000006" x14ac:dyDescent="0.25">
      <c r="B73" s="42" t="s">
        <v>71</v>
      </c>
      <c r="C73" s="43"/>
      <c r="D73" s="43"/>
      <c r="E73" s="43"/>
      <c r="F73" s="144" t="s">
        <v>340</v>
      </c>
      <c r="G73" s="145"/>
      <c r="H73" s="44">
        <v>2000000</v>
      </c>
      <c r="I73" s="44">
        <v>0</v>
      </c>
      <c r="J73" s="44">
        <f t="shared" si="37"/>
        <v>2000000</v>
      </c>
      <c r="K73" s="44"/>
      <c r="L73" s="44">
        <f t="shared" si="38"/>
        <v>2000000</v>
      </c>
      <c r="M73" s="44">
        <f>200000</f>
        <v>200000</v>
      </c>
      <c r="N73" s="44">
        <v>0</v>
      </c>
      <c r="O73" s="36">
        <v>60000</v>
      </c>
      <c r="P73" s="44">
        <f t="shared" si="36"/>
        <v>260000</v>
      </c>
      <c r="Q73" s="44"/>
      <c r="R73" s="44">
        <f t="shared" si="39"/>
        <v>260000</v>
      </c>
      <c r="S73" s="146">
        <v>100000</v>
      </c>
      <c r="T73" s="146"/>
      <c r="U73" s="146"/>
      <c r="V73" s="146"/>
      <c r="W73" s="146">
        <v>250000</v>
      </c>
      <c r="X73" s="146">
        <f>H73-W73-Y73-Z73</f>
        <v>1250000</v>
      </c>
      <c r="Y73" s="146">
        <v>300000</v>
      </c>
      <c r="Z73" s="146">
        <v>200000</v>
      </c>
      <c r="AA73" s="146" t="s">
        <v>308</v>
      </c>
      <c r="AB73" s="146"/>
      <c r="AC73" s="146"/>
      <c r="AD73" s="146" t="s">
        <v>366</v>
      </c>
      <c r="AE73" s="259"/>
      <c r="AF73" s="262"/>
      <c r="AG73" s="262"/>
      <c r="AH73" s="262"/>
      <c r="AI73" s="262"/>
      <c r="AJ73" s="258"/>
    </row>
    <row r="74" spans="2:36" x14ac:dyDescent="0.25">
      <c r="B74" s="45" t="s">
        <v>72</v>
      </c>
      <c r="C74" s="45" t="s">
        <v>3</v>
      </c>
      <c r="D74" s="45"/>
      <c r="E74" s="45"/>
      <c r="F74" s="45"/>
      <c r="G74" s="45"/>
      <c r="H74" s="46">
        <f>+H75+H79+H126+H92+H78+H81+H80+H88+H91+H93+H102+H110+H97+H119+H121+H112+H117+H122+H120+H94+H111+H124+H118+H123+H125</f>
        <v>67249188</v>
      </c>
      <c r="I74" s="46">
        <f>+I75+I79+I126+I92+I78+I81+I80+I88+I91+I93+I102+I110+I97+I119+I121+I112+I117+I122+I120+I94+I111+I124+I118+I123+I125</f>
        <v>5887837</v>
      </c>
      <c r="J74" s="46">
        <f t="shared" si="37"/>
        <v>73137025</v>
      </c>
      <c r="K74" s="46">
        <f>+K75+K79+K126+K92+K78+K81+K80+K88+K91+K93+K102+K110+K97+K119+K121+K112+K117+K122+K120+K94+K111+K124+K118+K123</f>
        <v>980000</v>
      </c>
      <c r="L74" s="46">
        <f t="shared" si="38"/>
        <v>74117025</v>
      </c>
      <c r="M74" s="46">
        <f>+M75+M79+M126+M92+M78+M81+M80+M88+M91+M93+M102+M110+M97+M119+M121+M112+M117+M122+M120+M94+M111+M124+M118+M123</f>
        <v>28939028</v>
      </c>
      <c r="N74" s="46">
        <f>+N75+N79+N126+N92+N78+N81+N80+N88+N91+N93+N102+N110+N97+N119+N121+N112+N117+N122+N120+N94+N111+N124+N118+N123+N125</f>
        <v>457743</v>
      </c>
      <c r="O74" s="46">
        <f>+O75+O79+O126+O92+O78+O81+O80+O88+O91+O93+O102+O110+O97+O119+O121+O112+O117+O122+O120+O94+O111+O124+O118+O123+O125</f>
        <v>3893955</v>
      </c>
      <c r="P74" s="46">
        <f t="shared" si="36"/>
        <v>33290726</v>
      </c>
      <c r="Q74" s="46"/>
      <c r="R74" s="46">
        <f t="shared" si="39"/>
        <v>33290726</v>
      </c>
      <c r="S74" s="46">
        <f t="shared" ref="S74:Z74" si="40">+S75+S79+S126+S92+S78+S81+S80+S88+S91+S93+S102+S110+S97+S119+S121+S112+S117+S122+S120+S94+S111+S124+S118+S123+S125</f>
        <v>21723777</v>
      </c>
      <c r="T74" s="46">
        <f t="shared" si="40"/>
        <v>4850698</v>
      </c>
      <c r="U74" s="46">
        <f t="shared" si="40"/>
        <v>2360698</v>
      </c>
      <c r="V74" s="46">
        <f t="shared" si="40"/>
        <v>2466000</v>
      </c>
      <c r="W74" s="46">
        <f t="shared" si="40"/>
        <v>2059870</v>
      </c>
      <c r="X74" s="46">
        <f t="shared" si="40"/>
        <v>31910815</v>
      </c>
      <c r="Y74" s="46">
        <f t="shared" si="40"/>
        <v>9608300</v>
      </c>
      <c r="Z74" s="46">
        <f t="shared" si="40"/>
        <v>687200</v>
      </c>
      <c r="AA74" s="46"/>
      <c r="AB74" s="46"/>
      <c r="AC74" s="46"/>
      <c r="AD74" s="147"/>
      <c r="AE74" s="259"/>
      <c r="AF74" s="257"/>
      <c r="AG74" s="257"/>
      <c r="AH74" s="257"/>
      <c r="AI74" s="257"/>
      <c r="AJ74" s="258"/>
    </row>
    <row r="75" spans="2:36" x14ac:dyDescent="0.25">
      <c r="B75" s="31" t="s">
        <v>73</v>
      </c>
      <c r="C75" s="31" t="s">
        <v>3</v>
      </c>
      <c r="D75" s="31" t="s">
        <v>74</v>
      </c>
      <c r="E75" s="31"/>
      <c r="F75" s="31"/>
      <c r="G75" s="31"/>
      <c r="H75" s="32">
        <f>H76+H77</f>
        <v>724925</v>
      </c>
      <c r="I75" s="32">
        <f>I76+I77</f>
        <v>-26227</v>
      </c>
      <c r="J75" s="32">
        <f t="shared" si="37"/>
        <v>698698</v>
      </c>
      <c r="K75" s="32">
        <f>K76+K77</f>
        <v>0</v>
      </c>
      <c r="L75" s="32">
        <f t="shared" si="38"/>
        <v>698698</v>
      </c>
      <c r="M75" s="32">
        <f t="shared" ref="M75:Z75" si="41">M76+M77</f>
        <v>680361</v>
      </c>
      <c r="N75" s="32">
        <f>N76+N77</f>
        <v>18337</v>
      </c>
      <c r="O75" s="32"/>
      <c r="P75" s="32">
        <f t="shared" si="36"/>
        <v>698698</v>
      </c>
      <c r="Q75" s="32"/>
      <c r="R75" s="32">
        <f t="shared" si="39"/>
        <v>698698</v>
      </c>
      <c r="S75" s="32">
        <f t="shared" ref="S75:V75" si="42">S76+S77</f>
        <v>689698</v>
      </c>
      <c r="T75" s="32">
        <f t="shared" si="42"/>
        <v>699698</v>
      </c>
      <c r="U75" s="32">
        <f t="shared" si="42"/>
        <v>709698</v>
      </c>
      <c r="V75" s="32">
        <f t="shared" si="42"/>
        <v>715000</v>
      </c>
      <c r="W75" s="32">
        <f t="shared" si="41"/>
        <v>0</v>
      </c>
      <c r="X75" s="32">
        <f t="shared" si="41"/>
        <v>0</v>
      </c>
      <c r="Y75" s="32">
        <f t="shared" si="41"/>
        <v>0</v>
      </c>
      <c r="Z75" s="32">
        <f t="shared" si="41"/>
        <v>0</v>
      </c>
      <c r="AA75" s="32"/>
      <c r="AB75" s="32"/>
      <c r="AC75" s="32"/>
      <c r="AD75" s="36"/>
      <c r="AE75" s="259"/>
      <c r="AF75" s="257"/>
      <c r="AG75" s="257"/>
      <c r="AH75" s="257"/>
      <c r="AI75" s="257"/>
      <c r="AJ75" s="258"/>
    </row>
    <row r="76" spans="2:36" ht="51" x14ac:dyDescent="0.25">
      <c r="B76" s="47" t="s">
        <v>30</v>
      </c>
      <c r="C76" s="31" t="s">
        <v>0</v>
      </c>
      <c r="D76" s="31"/>
      <c r="E76" s="31"/>
      <c r="F76" s="31"/>
      <c r="G76" s="31"/>
      <c r="H76" s="32">
        <v>305000</v>
      </c>
      <c r="I76" s="32">
        <v>19000</v>
      </c>
      <c r="J76" s="32">
        <f t="shared" si="37"/>
        <v>324000</v>
      </c>
      <c r="K76" s="32"/>
      <c r="L76" s="32">
        <f t="shared" si="38"/>
        <v>324000</v>
      </c>
      <c r="M76" s="32">
        <f>200000+90000+15000</f>
        <v>305000</v>
      </c>
      <c r="N76" s="32">
        <v>19000</v>
      </c>
      <c r="O76" s="32"/>
      <c r="P76" s="32">
        <f t="shared" si="36"/>
        <v>324000</v>
      </c>
      <c r="Q76" s="32"/>
      <c r="R76" s="32">
        <f t="shared" si="39"/>
        <v>324000</v>
      </c>
      <c r="S76" s="32">
        <v>315000</v>
      </c>
      <c r="T76" s="32">
        <v>325000</v>
      </c>
      <c r="U76" s="32">
        <v>335000</v>
      </c>
      <c r="V76" s="32">
        <v>340000</v>
      </c>
      <c r="W76" s="32"/>
      <c r="X76" s="32"/>
      <c r="Y76" s="32"/>
      <c r="Z76" s="32"/>
      <c r="AA76" s="32"/>
      <c r="AB76" s="32"/>
      <c r="AC76" s="32"/>
      <c r="AD76" s="36" t="s">
        <v>501</v>
      </c>
      <c r="AE76" s="259"/>
      <c r="AF76" s="257"/>
      <c r="AG76" s="257"/>
      <c r="AH76" s="257"/>
      <c r="AI76" s="257"/>
      <c r="AJ76" s="258"/>
    </row>
    <row r="77" spans="2:36" x14ac:dyDescent="0.25">
      <c r="B77" s="31"/>
      <c r="C77" s="31" t="s">
        <v>31</v>
      </c>
      <c r="D77" s="31"/>
      <c r="E77" s="31"/>
      <c r="F77" s="31"/>
      <c r="G77" s="31"/>
      <c r="H77" s="32">
        <f>375898+44027</f>
        <v>419925</v>
      </c>
      <c r="I77" s="32">
        <v>-45227</v>
      </c>
      <c r="J77" s="32">
        <f t="shared" si="37"/>
        <v>374698</v>
      </c>
      <c r="K77" s="32"/>
      <c r="L77" s="32">
        <f t="shared" si="38"/>
        <v>374698</v>
      </c>
      <c r="M77" s="32">
        <v>375361</v>
      </c>
      <c r="N77" s="32">
        <v>-663</v>
      </c>
      <c r="O77" s="32"/>
      <c r="P77" s="32">
        <f t="shared" si="36"/>
        <v>374698</v>
      </c>
      <c r="Q77" s="32"/>
      <c r="R77" s="32">
        <f t="shared" si="39"/>
        <v>374698</v>
      </c>
      <c r="S77" s="32">
        <v>374698</v>
      </c>
      <c r="T77" s="32">
        <v>374698</v>
      </c>
      <c r="U77" s="32">
        <v>374698</v>
      </c>
      <c r="V77" s="32">
        <v>375000</v>
      </c>
      <c r="W77" s="32"/>
      <c r="X77" s="32"/>
      <c r="Y77" s="32"/>
      <c r="Z77" s="32"/>
      <c r="AA77" s="32"/>
      <c r="AB77" s="32"/>
      <c r="AC77" s="32"/>
      <c r="AD77" s="36"/>
      <c r="AE77" s="259"/>
      <c r="AF77" s="257"/>
      <c r="AG77" s="257"/>
      <c r="AH77" s="257"/>
      <c r="AI77" s="257"/>
      <c r="AJ77" s="258"/>
    </row>
    <row r="78" spans="2:36" ht="112.8" x14ac:dyDescent="0.25">
      <c r="B78" s="31" t="s">
        <v>75</v>
      </c>
      <c r="C78" s="31" t="s">
        <v>0</v>
      </c>
      <c r="D78" s="31" t="s">
        <v>74</v>
      </c>
      <c r="E78" s="31"/>
      <c r="F78" s="31"/>
      <c r="G78" s="31"/>
      <c r="H78" s="32">
        <f>1097300+206012</f>
        <v>1303312</v>
      </c>
      <c r="I78" s="32">
        <v>0</v>
      </c>
      <c r="J78" s="32">
        <f t="shared" si="37"/>
        <v>1303312</v>
      </c>
      <c r="K78" s="32"/>
      <c r="L78" s="32">
        <f t="shared" si="38"/>
        <v>1303312</v>
      </c>
      <c r="M78" s="32">
        <v>821212</v>
      </c>
      <c r="N78" s="32">
        <v>-126580</v>
      </c>
      <c r="O78" s="32">
        <v>362100</v>
      </c>
      <c r="P78" s="32">
        <f t="shared" si="36"/>
        <v>1056732</v>
      </c>
      <c r="Q78" s="32"/>
      <c r="R78" s="32">
        <f t="shared" si="39"/>
        <v>1056732</v>
      </c>
      <c r="S78" s="32">
        <v>120000</v>
      </c>
      <c r="T78" s="32"/>
      <c r="U78" s="32"/>
      <c r="V78" s="32"/>
      <c r="W78" s="32"/>
      <c r="X78" s="32"/>
      <c r="Y78" s="32"/>
      <c r="Z78" s="32"/>
      <c r="AA78" s="32"/>
      <c r="AB78" s="32"/>
      <c r="AC78" s="32"/>
      <c r="AD78" s="148" t="s">
        <v>367</v>
      </c>
      <c r="AE78" s="259"/>
      <c r="AF78" s="257"/>
      <c r="AG78" s="257"/>
      <c r="AH78" s="257"/>
      <c r="AI78" s="257"/>
      <c r="AJ78" s="258"/>
    </row>
    <row r="79" spans="2:36" ht="91.8" x14ac:dyDescent="0.25">
      <c r="B79" s="31" t="s">
        <v>76</v>
      </c>
      <c r="C79" s="31" t="s">
        <v>0</v>
      </c>
      <c r="D79" s="31" t="s">
        <v>37</v>
      </c>
      <c r="E79" s="31"/>
      <c r="F79" s="31" t="s">
        <v>288</v>
      </c>
      <c r="G79" s="124">
        <v>2023</v>
      </c>
      <c r="H79" s="32">
        <f>693115+590000</f>
        <v>1283115</v>
      </c>
      <c r="I79" s="32">
        <v>0</v>
      </c>
      <c r="J79" s="32">
        <f t="shared" si="37"/>
        <v>1283115</v>
      </c>
      <c r="K79" s="32"/>
      <c r="L79" s="32">
        <f t="shared" si="38"/>
        <v>1283115</v>
      </c>
      <c r="M79" s="32">
        <v>230000</v>
      </c>
      <c r="N79" s="32">
        <v>0</v>
      </c>
      <c r="O79" s="32">
        <v>12560</v>
      </c>
      <c r="P79" s="32">
        <f t="shared" si="36"/>
        <v>242560</v>
      </c>
      <c r="Q79" s="32"/>
      <c r="R79" s="32">
        <f t="shared" si="39"/>
        <v>242560</v>
      </c>
      <c r="S79" s="32">
        <v>1053115</v>
      </c>
      <c r="T79" s="32"/>
      <c r="U79" s="32"/>
      <c r="V79" s="32"/>
      <c r="W79" s="32">
        <v>230000</v>
      </c>
      <c r="X79" s="32">
        <v>1003115</v>
      </c>
      <c r="Y79" s="32"/>
      <c r="Z79" s="32">
        <v>50000</v>
      </c>
      <c r="AA79" s="36" t="s">
        <v>330</v>
      </c>
      <c r="AB79" s="36" t="s">
        <v>368</v>
      </c>
      <c r="AC79" s="36"/>
      <c r="AD79" s="36" t="s">
        <v>502</v>
      </c>
      <c r="AE79" s="259"/>
      <c r="AF79" s="257"/>
      <c r="AG79" s="257"/>
      <c r="AH79" s="257"/>
      <c r="AI79" s="257"/>
      <c r="AJ79" s="258"/>
    </row>
    <row r="80" spans="2:36" s="1" customFormat="1" ht="61.2" x14ac:dyDescent="0.25">
      <c r="B80" s="31" t="s">
        <v>77</v>
      </c>
      <c r="C80" s="31" t="s">
        <v>0</v>
      </c>
      <c r="D80" s="31" t="s">
        <v>74</v>
      </c>
      <c r="E80" s="31"/>
      <c r="F80" s="31"/>
      <c r="G80" s="124"/>
      <c r="H80" s="32">
        <f>30000+250000</f>
        <v>280000</v>
      </c>
      <c r="I80" s="32">
        <v>0</v>
      </c>
      <c r="J80" s="32">
        <f t="shared" si="37"/>
        <v>280000</v>
      </c>
      <c r="K80" s="32"/>
      <c r="L80" s="32">
        <f t="shared" si="38"/>
        <v>280000</v>
      </c>
      <c r="M80" s="32">
        <v>280000</v>
      </c>
      <c r="N80" s="32">
        <v>0</v>
      </c>
      <c r="O80" s="32"/>
      <c r="P80" s="32">
        <f t="shared" si="36"/>
        <v>280000</v>
      </c>
      <c r="Q80" s="32"/>
      <c r="R80" s="32">
        <f t="shared" si="39"/>
        <v>280000</v>
      </c>
      <c r="S80" s="32"/>
      <c r="T80" s="32"/>
      <c r="U80" s="32"/>
      <c r="V80" s="32"/>
      <c r="W80" s="32"/>
      <c r="X80" s="32"/>
      <c r="Y80" s="32"/>
      <c r="Z80" s="32"/>
      <c r="AA80" s="36"/>
      <c r="AB80" s="36"/>
      <c r="AC80" s="36"/>
      <c r="AD80" s="179" t="s">
        <v>503</v>
      </c>
      <c r="AE80" s="259"/>
      <c r="AF80" s="260"/>
      <c r="AG80" s="260"/>
      <c r="AH80" s="260"/>
      <c r="AI80" s="260"/>
      <c r="AJ80" s="258"/>
    </row>
    <row r="81" spans="2:36" s="1" customFormat="1" x14ac:dyDescent="0.25">
      <c r="B81" s="31" t="s">
        <v>78</v>
      </c>
      <c r="C81" s="31" t="s">
        <v>0</v>
      </c>
      <c r="D81" s="31"/>
      <c r="E81" s="31"/>
      <c r="F81" s="31"/>
      <c r="G81" s="124"/>
      <c r="H81" s="32">
        <f>SUM(H82:H87)</f>
        <v>4737000</v>
      </c>
      <c r="I81" s="32">
        <v>0</v>
      </c>
      <c r="J81" s="32">
        <f t="shared" si="37"/>
        <v>4737000</v>
      </c>
      <c r="K81" s="32"/>
      <c r="L81" s="32">
        <f t="shared" si="38"/>
        <v>4737000</v>
      </c>
      <c r="M81" s="32">
        <f>SUM(M82:M87)</f>
        <v>1145000</v>
      </c>
      <c r="N81" s="32">
        <f>SUM(N82:N87)</f>
        <v>-150000</v>
      </c>
      <c r="O81" s="32">
        <f>SUM(O82:O87)</f>
        <v>67276</v>
      </c>
      <c r="P81" s="32">
        <f t="shared" si="36"/>
        <v>1062276</v>
      </c>
      <c r="Q81" s="32"/>
      <c r="R81" s="32">
        <f t="shared" si="39"/>
        <v>1062276</v>
      </c>
      <c r="S81" s="32">
        <f>SUM(S82:S87)</f>
        <v>1788000</v>
      </c>
      <c r="T81" s="32">
        <f t="shared" ref="T81:Z81" si="43">SUM(T82:T87)</f>
        <v>1821000</v>
      </c>
      <c r="U81" s="32">
        <f t="shared" si="43"/>
        <v>71000</v>
      </c>
      <c r="V81" s="32">
        <f t="shared" si="43"/>
        <v>71000</v>
      </c>
      <c r="W81" s="32">
        <f t="shared" si="43"/>
        <v>0</v>
      </c>
      <c r="X81" s="32">
        <f t="shared" si="43"/>
        <v>31000</v>
      </c>
      <c r="Y81" s="32">
        <f t="shared" si="43"/>
        <v>331000</v>
      </c>
      <c r="Z81" s="32">
        <f t="shared" si="43"/>
        <v>2000</v>
      </c>
      <c r="AA81" s="36"/>
      <c r="AB81" s="36"/>
      <c r="AC81" s="36"/>
      <c r="AD81" s="36"/>
      <c r="AE81" s="259"/>
      <c r="AF81" s="260"/>
      <c r="AG81" s="260"/>
      <c r="AH81" s="260"/>
      <c r="AI81" s="260"/>
      <c r="AJ81" s="258"/>
    </row>
    <row r="82" spans="2:36" s="2" customFormat="1" ht="30.6" x14ac:dyDescent="0.25">
      <c r="B82" s="48" t="s">
        <v>79</v>
      </c>
      <c r="C82" s="49"/>
      <c r="D82" s="49" t="s">
        <v>37</v>
      </c>
      <c r="E82" s="49"/>
      <c r="F82" s="149"/>
      <c r="G82" s="150"/>
      <c r="H82" s="50">
        <v>479000</v>
      </c>
      <c r="I82" s="50">
        <v>0</v>
      </c>
      <c r="J82" s="50">
        <f t="shared" si="37"/>
        <v>479000</v>
      </c>
      <c r="K82" s="50"/>
      <c r="L82" s="50">
        <f t="shared" si="38"/>
        <v>479000</v>
      </c>
      <c r="M82" s="50">
        <v>364000</v>
      </c>
      <c r="N82" s="50">
        <v>0</v>
      </c>
      <c r="O82" s="50">
        <v>67276</v>
      </c>
      <c r="P82" s="50">
        <f t="shared" si="36"/>
        <v>431276</v>
      </c>
      <c r="Q82" s="50"/>
      <c r="R82" s="50">
        <f t="shared" si="39"/>
        <v>431276</v>
      </c>
      <c r="S82" s="151"/>
      <c r="T82" s="151"/>
      <c r="U82" s="151"/>
      <c r="V82" s="151"/>
      <c r="W82" s="151"/>
      <c r="X82" s="151">
        <v>31000</v>
      </c>
      <c r="Y82" s="151">
        <v>331000</v>
      </c>
      <c r="Z82" s="151">
        <v>2000</v>
      </c>
      <c r="AA82" s="151"/>
      <c r="AB82" s="151" t="s">
        <v>369</v>
      </c>
      <c r="AC82" s="151" t="s">
        <v>370</v>
      </c>
      <c r="AD82" s="151" t="s">
        <v>371</v>
      </c>
      <c r="AE82" s="259"/>
      <c r="AF82" s="263"/>
      <c r="AG82" s="263"/>
      <c r="AH82" s="263"/>
      <c r="AI82" s="263"/>
      <c r="AJ82" s="258"/>
    </row>
    <row r="83" spans="2:36" ht="71.400000000000006" x14ac:dyDescent="0.25">
      <c r="B83" s="48" t="s">
        <v>80</v>
      </c>
      <c r="C83" s="49"/>
      <c r="D83" s="49" t="s">
        <v>37</v>
      </c>
      <c r="E83" s="49" t="s">
        <v>74</v>
      </c>
      <c r="F83" s="49"/>
      <c r="G83" s="152"/>
      <c r="H83" s="50">
        <v>200000</v>
      </c>
      <c r="I83" s="50">
        <v>0</v>
      </c>
      <c r="J83" s="50">
        <f t="shared" si="37"/>
        <v>200000</v>
      </c>
      <c r="K83" s="50"/>
      <c r="L83" s="50">
        <f t="shared" si="38"/>
        <v>200000</v>
      </c>
      <c r="M83" s="50">
        <v>135000</v>
      </c>
      <c r="N83" s="50">
        <v>0</v>
      </c>
      <c r="O83" s="50"/>
      <c r="P83" s="50">
        <f t="shared" si="36"/>
        <v>135000</v>
      </c>
      <c r="Q83" s="50"/>
      <c r="R83" s="50">
        <f t="shared" si="39"/>
        <v>135000</v>
      </c>
      <c r="S83" s="50">
        <v>65000</v>
      </c>
      <c r="T83" s="50"/>
      <c r="U83" s="50"/>
      <c r="V83" s="50"/>
      <c r="W83" s="50"/>
      <c r="X83" s="50"/>
      <c r="Y83" s="50"/>
      <c r="Z83" s="50"/>
      <c r="AA83" s="50"/>
      <c r="AB83" s="50"/>
      <c r="AC83" s="50"/>
      <c r="AD83" s="179" t="s">
        <v>372</v>
      </c>
      <c r="AE83" s="259"/>
      <c r="AF83" s="257"/>
      <c r="AG83" s="257"/>
      <c r="AH83" s="257"/>
      <c r="AI83" s="257"/>
      <c r="AJ83" s="258"/>
    </row>
    <row r="84" spans="2:36" ht="102" x14ac:dyDescent="0.25">
      <c r="B84" s="48" t="s">
        <v>81</v>
      </c>
      <c r="C84" s="49"/>
      <c r="D84" s="49" t="s">
        <v>74</v>
      </c>
      <c r="E84" s="49"/>
      <c r="F84" s="49"/>
      <c r="G84" s="152"/>
      <c r="H84" s="50">
        <v>472000</v>
      </c>
      <c r="I84" s="50">
        <v>0</v>
      </c>
      <c r="J84" s="50">
        <f t="shared" si="37"/>
        <v>472000</v>
      </c>
      <c r="K84" s="50"/>
      <c r="L84" s="50">
        <f t="shared" si="38"/>
        <v>472000</v>
      </c>
      <c r="M84" s="50">
        <v>60000</v>
      </c>
      <c r="N84" s="50">
        <v>0</v>
      </c>
      <c r="O84" s="50"/>
      <c r="P84" s="50">
        <f t="shared" si="36"/>
        <v>60000</v>
      </c>
      <c r="Q84" s="50"/>
      <c r="R84" s="50">
        <f t="shared" si="39"/>
        <v>60000</v>
      </c>
      <c r="S84" s="50">
        <v>412000</v>
      </c>
      <c r="T84" s="50"/>
      <c r="U84" s="50"/>
      <c r="V84" s="50"/>
      <c r="W84" s="50"/>
      <c r="X84" s="50"/>
      <c r="Y84" s="50"/>
      <c r="Z84" s="50"/>
      <c r="AA84" s="50"/>
      <c r="AB84" s="50"/>
      <c r="AC84" s="50"/>
      <c r="AD84" s="180" t="s">
        <v>373</v>
      </c>
      <c r="AE84" s="259"/>
      <c r="AF84" s="257"/>
      <c r="AG84" s="257"/>
      <c r="AH84" s="257"/>
      <c r="AI84" s="257"/>
      <c r="AJ84" s="258"/>
    </row>
    <row r="85" spans="2:36" s="1" customFormat="1" ht="30.6" x14ac:dyDescent="0.25">
      <c r="B85" s="48" t="s">
        <v>82</v>
      </c>
      <c r="C85" s="49"/>
      <c r="D85" s="49" t="s">
        <v>37</v>
      </c>
      <c r="E85" s="49" t="s">
        <v>74</v>
      </c>
      <c r="F85" s="49"/>
      <c r="G85" s="152"/>
      <c r="H85" s="50">
        <v>3250000</v>
      </c>
      <c r="I85" s="50">
        <v>0</v>
      </c>
      <c r="J85" s="50">
        <f t="shared" si="37"/>
        <v>3250000</v>
      </c>
      <c r="K85" s="50"/>
      <c r="L85" s="50">
        <f t="shared" si="38"/>
        <v>3250000</v>
      </c>
      <c r="M85" s="50">
        <v>250000</v>
      </c>
      <c r="N85" s="50">
        <v>-150000</v>
      </c>
      <c r="O85" s="50"/>
      <c r="P85" s="50">
        <f t="shared" si="36"/>
        <v>100000</v>
      </c>
      <c r="Q85" s="50"/>
      <c r="R85" s="50">
        <f t="shared" si="39"/>
        <v>100000</v>
      </c>
      <c r="S85" s="50">
        <v>1250000</v>
      </c>
      <c r="T85" s="50">
        <v>1750000</v>
      </c>
      <c r="U85" s="50"/>
      <c r="V85" s="50"/>
      <c r="W85" s="50"/>
      <c r="X85" s="50"/>
      <c r="Y85" s="50"/>
      <c r="Z85" s="50"/>
      <c r="AA85" s="50"/>
      <c r="AB85" s="50"/>
      <c r="AC85" s="50"/>
      <c r="AD85" s="180" t="s">
        <v>374</v>
      </c>
      <c r="AE85" s="259"/>
      <c r="AF85" s="260"/>
      <c r="AG85" s="260"/>
      <c r="AH85" s="260"/>
      <c r="AI85" s="260"/>
      <c r="AJ85" s="258"/>
    </row>
    <row r="86" spans="2:36" ht="20.399999999999999" x14ac:dyDescent="0.25">
      <c r="B86" s="48" t="s">
        <v>83</v>
      </c>
      <c r="C86" s="49"/>
      <c r="D86" s="49" t="s">
        <v>37</v>
      </c>
      <c r="E86" s="49"/>
      <c r="F86" s="49"/>
      <c r="G86" s="152"/>
      <c r="H86" s="50">
        <f>M86</f>
        <v>275000</v>
      </c>
      <c r="I86" s="50">
        <v>0</v>
      </c>
      <c r="J86" s="50">
        <f t="shared" si="37"/>
        <v>275000</v>
      </c>
      <c r="K86" s="50"/>
      <c r="L86" s="50">
        <f t="shared" si="38"/>
        <v>275000</v>
      </c>
      <c r="M86" s="50">
        <v>275000</v>
      </c>
      <c r="N86" s="50">
        <v>0</v>
      </c>
      <c r="O86" s="50"/>
      <c r="P86" s="50">
        <f t="shared" si="36"/>
        <v>275000</v>
      </c>
      <c r="Q86" s="50"/>
      <c r="R86" s="50">
        <f t="shared" si="39"/>
        <v>275000</v>
      </c>
      <c r="S86" s="50"/>
      <c r="T86" s="50"/>
      <c r="U86" s="50"/>
      <c r="V86" s="50"/>
      <c r="W86" s="50"/>
      <c r="X86" s="50"/>
      <c r="Y86" s="50"/>
      <c r="Z86" s="50"/>
      <c r="AA86" s="50"/>
      <c r="AB86" s="50"/>
      <c r="AC86" s="50"/>
      <c r="AD86" s="50"/>
      <c r="AE86" s="259"/>
      <c r="AF86" s="257"/>
      <c r="AG86" s="257"/>
      <c r="AH86" s="257"/>
      <c r="AI86" s="257"/>
      <c r="AJ86" s="258"/>
    </row>
    <row r="87" spans="2:36" s="2" customFormat="1" ht="102" x14ac:dyDescent="0.25">
      <c r="B87" s="51" t="s">
        <v>84</v>
      </c>
      <c r="C87" s="52"/>
      <c r="D87" s="52" t="s">
        <v>37</v>
      </c>
      <c r="E87" s="52" t="s">
        <v>74</v>
      </c>
      <c r="F87" s="52"/>
      <c r="G87" s="153"/>
      <c r="H87" s="53">
        <v>61000</v>
      </c>
      <c r="I87" s="53">
        <v>0</v>
      </c>
      <c r="J87" s="53">
        <f t="shared" si="37"/>
        <v>61000</v>
      </c>
      <c r="K87" s="53">
        <v>274000</v>
      </c>
      <c r="L87" s="53">
        <f t="shared" si="38"/>
        <v>335000</v>
      </c>
      <c r="M87" s="53">
        <v>61000</v>
      </c>
      <c r="N87" s="53">
        <v>0</v>
      </c>
      <c r="O87" s="53"/>
      <c r="P87" s="53">
        <f t="shared" si="36"/>
        <v>61000</v>
      </c>
      <c r="Q87" s="53"/>
      <c r="R87" s="53">
        <f t="shared" si="39"/>
        <v>61000</v>
      </c>
      <c r="S87" s="53">
        <v>61000</v>
      </c>
      <c r="T87" s="53">
        <v>71000</v>
      </c>
      <c r="U87" s="53">
        <v>71000</v>
      </c>
      <c r="V87" s="53">
        <v>71000</v>
      </c>
      <c r="W87" s="53"/>
      <c r="X87" s="53"/>
      <c r="Y87" s="53"/>
      <c r="Z87" s="53"/>
      <c r="AA87" s="53"/>
      <c r="AB87" s="53"/>
      <c r="AC87" s="53"/>
      <c r="AD87" s="50" t="s">
        <v>375</v>
      </c>
      <c r="AE87" s="259"/>
      <c r="AF87" s="263"/>
      <c r="AG87" s="263"/>
      <c r="AH87" s="263"/>
      <c r="AI87" s="263"/>
      <c r="AJ87" s="258"/>
    </row>
    <row r="88" spans="2:36" ht="51" x14ac:dyDescent="0.25">
      <c r="B88" s="54" t="s">
        <v>5</v>
      </c>
      <c r="C88" s="54" t="s">
        <v>3</v>
      </c>
      <c r="D88" s="54"/>
      <c r="E88" s="54"/>
      <c r="F88" s="54" t="s">
        <v>288</v>
      </c>
      <c r="G88" s="154">
        <v>2024</v>
      </c>
      <c r="H88" s="55">
        <f>H89+H90</f>
        <v>28398000</v>
      </c>
      <c r="I88" s="55">
        <f>I89+I90</f>
        <v>2500000</v>
      </c>
      <c r="J88" s="55">
        <f t="shared" si="37"/>
        <v>30898000</v>
      </c>
      <c r="K88" s="155"/>
      <c r="L88" s="55">
        <f t="shared" si="38"/>
        <v>30898000</v>
      </c>
      <c r="M88" s="55">
        <f>SUM(M89:M90)</f>
        <v>13350000</v>
      </c>
      <c r="N88" s="55">
        <v>0</v>
      </c>
      <c r="O88" s="55">
        <f>O89+O90</f>
        <v>2100000</v>
      </c>
      <c r="P88" s="55">
        <f t="shared" si="36"/>
        <v>15450000</v>
      </c>
      <c r="Q88" s="55"/>
      <c r="R88" s="55">
        <f t="shared" si="39"/>
        <v>15450000</v>
      </c>
      <c r="S88" s="239">
        <f>SUM(S89:S90)</f>
        <v>9047964</v>
      </c>
      <c r="T88" s="239"/>
      <c r="U88" s="239"/>
      <c r="V88" s="239"/>
      <c r="W88" s="239">
        <v>1298000</v>
      </c>
      <c r="X88" s="239">
        <v>19437700</v>
      </c>
      <c r="Y88" s="239">
        <v>9042300</v>
      </c>
      <c r="Z88" s="239">
        <v>120000</v>
      </c>
      <c r="AA88" s="58" t="s">
        <v>376</v>
      </c>
      <c r="AB88" s="36" t="s">
        <v>377</v>
      </c>
      <c r="AC88" s="36" t="s">
        <v>378</v>
      </c>
      <c r="AD88" s="36" t="s">
        <v>379</v>
      </c>
      <c r="AE88" s="259"/>
      <c r="AF88" s="257"/>
      <c r="AG88" s="257"/>
      <c r="AH88" s="257"/>
      <c r="AI88" s="257"/>
      <c r="AJ88" s="258"/>
    </row>
    <row r="89" spans="2:36" x14ac:dyDescent="0.25">
      <c r="B89" s="56" t="s">
        <v>85</v>
      </c>
      <c r="C89" s="57" t="s">
        <v>31</v>
      </c>
      <c r="D89" s="57" t="s">
        <v>37</v>
      </c>
      <c r="E89" s="57" t="s">
        <v>74</v>
      </c>
      <c r="F89" s="57"/>
      <c r="G89" s="156"/>
      <c r="H89" s="58">
        <f>13675000+634000-110000</f>
        <v>14199000</v>
      </c>
      <c r="I89" s="58">
        <v>1250000</v>
      </c>
      <c r="J89" s="58">
        <f t="shared" si="37"/>
        <v>15449000</v>
      </c>
      <c r="K89" s="240"/>
      <c r="L89" s="58">
        <f t="shared" si="38"/>
        <v>15449000</v>
      </c>
      <c r="M89" s="58">
        <v>6032060</v>
      </c>
      <c r="N89" s="58">
        <v>0</v>
      </c>
      <c r="O89" s="58"/>
      <c r="P89" s="58">
        <f t="shared" si="36"/>
        <v>6032060</v>
      </c>
      <c r="Q89" s="58"/>
      <c r="R89" s="58">
        <f t="shared" si="39"/>
        <v>6032060</v>
      </c>
      <c r="S89" s="240">
        <f>2766904+750000</f>
        <v>3516904</v>
      </c>
      <c r="T89" s="240"/>
      <c r="U89" s="240"/>
      <c r="V89" s="240"/>
      <c r="W89" s="240"/>
      <c r="X89" s="240"/>
      <c r="Y89" s="240"/>
      <c r="Z89" s="240"/>
      <c r="AA89" s="58"/>
      <c r="AB89" s="58"/>
      <c r="AC89" s="58"/>
      <c r="AD89" s="36"/>
      <c r="AE89" s="259"/>
      <c r="AF89" s="257"/>
      <c r="AG89" s="257"/>
      <c r="AH89" s="257"/>
      <c r="AI89" s="257"/>
      <c r="AJ89" s="258"/>
    </row>
    <row r="90" spans="2:36" x14ac:dyDescent="0.25">
      <c r="B90" s="59" t="s">
        <v>86</v>
      </c>
      <c r="C90" s="35" t="s">
        <v>0</v>
      </c>
      <c r="D90" s="35" t="s">
        <v>37</v>
      </c>
      <c r="E90" s="57" t="s">
        <v>74</v>
      </c>
      <c r="F90" s="35"/>
      <c r="G90" s="127"/>
      <c r="H90" s="36">
        <f>13675000+1268000-634000-110000</f>
        <v>14199000</v>
      </c>
      <c r="I90" s="36">
        <v>1250000</v>
      </c>
      <c r="J90" s="36">
        <f t="shared" si="37"/>
        <v>15449000</v>
      </c>
      <c r="K90" s="240"/>
      <c r="L90" s="36">
        <f t="shared" si="38"/>
        <v>15449000</v>
      </c>
      <c r="M90" s="36">
        <v>7317940</v>
      </c>
      <c r="N90" s="36">
        <v>0</v>
      </c>
      <c r="O90" s="58">
        <v>2100000</v>
      </c>
      <c r="P90" s="36">
        <f t="shared" si="36"/>
        <v>9417940</v>
      </c>
      <c r="Q90" s="36"/>
      <c r="R90" s="36">
        <f t="shared" si="39"/>
        <v>9417940</v>
      </c>
      <c r="S90" s="240">
        <f>4781060+750000</f>
        <v>5531060</v>
      </c>
      <c r="T90" s="238"/>
      <c r="U90" s="238"/>
      <c r="V90" s="238"/>
      <c r="W90" s="238"/>
      <c r="X90" s="238"/>
      <c r="Y90" s="238"/>
      <c r="Z90" s="238"/>
      <c r="AA90" s="36"/>
      <c r="AB90" s="36"/>
      <c r="AC90" s="36"/>
      <c r="AD90" s="36"/>
      <c r="AE90" s="259"/>
      <c r="AF90" s="257"/>
      <c r="AG90" s="257"/>
      <c r="AH90" s="257"/>
      <c r="AI90" s="257"/>
      <c r="AJ90" s="258"/>
    </row>
    <row r="91" spans="2:36" ht="102" x14ac:dyDescent="0.25">
      <c r="B91" s="31" t="s">
        <v>87</v>
      </c>
      <c r="C91" s="31" t="s">
        <v>0</v>
      </c>
      <c r="D91" s="31" t="s">
        <v>37</v>
      </c>
      <c r="E91" s="31"/>
      <c r="F91" s="31" t="s">
        <v>288</v>
      </c>
      <c r="G91" s="124"/>
      <c r="H91" s="32">
        <v>1250000</v>
      </c>
      <c r="I91" s="32">
        <v>0</v>
      </c>
      <c r="J91" s="32">
        <f t="shared" si="37"/>
        <v>1250000</v>
      </c>
      <c r="K91" s="32">
        <v>300000</v>
      </c>
      <c r="L91" s="32">
        <f t="shared" si="38"/>
        <v>1550000</v>
      </c>
      <c r="M91" s="32">
        <v>250000</v>
      </c>
      <c r="N91" s="32">
        <v>0</v>
      </c>
      <c r="O91" s="32">
        <v>88299</v>
      </c>
      <c r="P91" s="32">
        <f t="shared" si="36"/>
        <v>338299</v>
      </c>
      <c r="Q91" s="32"/>
      <c r="R91" s="32">
        <f t="shared" si="39"/>
        <v>338299</v>
      </c>
      <c r="S91" s="237">
        <v>700000</v>
      </c>
      <c r="T91" s="237">
        <v>600000</v>
      </c>
      <c r="U91" s="237"/>
      <c r="V91" s="237"/>
      <c r="W91" s="237"/>
      <c r="X91" s="237">
        <v>1200000</v>
      </c>
      <c r="Y91" s="237"/>
      <c r="Z91" s="237">
        <v>100000</v>
      </c>
      <c r="AA91" s="36" t="s">
        <v>380</v>
      </c>
      <c r="AB91" s="36" t="s">
        <v>381</v>
      </c>
      <c r="AC91" s="36"/>
      <c r="AD91" s="36" t="s">
        <v>504</v>
      </c>
      <c r="AE91" s="259"/>
      <c r="AF91" s="257"/>
      <c r="AG91" s="257"/>
      <c r="AH91" s="257"/>
      <c r="AI91" s="257"/>
      <c r="AJ91" s="258"/>
    </row>
    <row r="92" spans="2:36" s="37" customFormat="1" ht="81.599999999999994" x14ac:dyDescent="0.25">
      <c r="B92" s="54" t="s">
        <v>88</v>
      </c>
      <c r="C92" s="54" t="s">
        <v>0</v>
      </c>
      <c r="D92" s="54" t="s">
        <v>74</v>
      </c>
      <c r="E92" s="54"/>
      <c r="F92" s="54"/>
      <c r="G92" s="154"/>
      <c r="H92" s="55">
        <v>30000</v>
      </c>
      <c r="I92" s="55">
        <v>0</v>
      </c>
      <c r="J92" s="55">
        <f t="shared" si="37"/>
        <v>30000</v>
      </c>
      <c r="K92" s="55"/>
      <c r="L92" s="55">
        <f t="shared" si="38"/>
        <v>30000</v>
      </c>
      <c r="M92" s="55">
        <v>30000</v>
      </c>
      <c r="N92" s="55">
        <v>0</v>
      </c>
      <c r="O92" s="55">
        <v>18451</v>
      </c>
      <c r="P92" s="55">
        <f t="shared" si="36"/>
        <v>48451</v>
      </c>
      <c r="Q92" s="55"/>
      <c r="R92" s="55">
        <f t="shared" si="39"/>
        <v>48451</v>
      </c>
      <c r="S92" s="55">
        <v>30000</v>
      </c>
      <c r="T92" s="55">
        <v>30000</v>
      </c>
      <c r="U92" s="55">
        <v>30000</v>
      </c>
      <c r="V92" s="55">
        <v>30000</v>
      </c>
      <c r="W92" s="55"/>
      <c r="X92" s="55"/>
      <c r="Y92" s="55"/>
      <c r="Z92" s="55"/>
      <c r="AA92" s="55"/>
      <c r="AB92" s="55"/>
      <c r="AC92" s="55"/>
      <c r="AD92" s="179" t="s">
        <v>382</v>
      </c>
      <c r="AE92" s="259"/>
      <c r="AF92" s="261"/>
      <c r="AG92" s="261"/>
      <c r="AH92" s="261"/>
      <c r="AI92" s="261"/>
      <c r="AJ92" s="258"/>
    </row>
    <row r="93" spans="2:36" ht="193.8" x14ac:dyDescent="0.25">
      <c r="B93" s="31" t="s">
        <v>89</v>
      </c>
      <c r="C93" s="31" t="s">
        <v>0</v>
      </c>
      <c r="D93" s="31" t="s">
        <v>37</v>
      </c>
      <c r="E93" s="31"/>
      <c r="F93" s="31" t="s">
        <v>340</v>
      </c>
      <c r="G93" s="124">
        <v>2023</v>
      </c>
      <c r="H93" s="32">
        <v>5460000</v>
      </c>
      <c r="I93" s="32">
        <v>600000</v>
      </c>
      <c r="J93" s="32">
        <f t="shared" si="37"/>
        <v>6060000</v>
      </c>
      <c r="K93" s="32"/>
      <c r="L93" s="32">
        <f t="shared" si="38"/>
        <v>6060000</v>
      </c>
      <c r="M93" s="32">
        <v>3500000</v>
      </c>
      <c r="N93" s="32">
        <v>0</v>
      </c>
      <c r="O93" s="32"/>
      <c r="P93" s="32">
        <f t="shared" si="36"/>
        <v>3500000</v>
      </c>
      <c r="Q93" s="32"/>
      <c r="R93" s="32">
        <f t="shared" si="39"/>
        <v>3500000</v>
      </c>
      <c r="S93" s="32">
        <v>2360000</v>
      </c>
      <c r="T93" s="32"/>
      <c r="U93" s="32"/>
      <c r="V93" s="32"/>
      <c r="W93" s="32">
        <v>191070</v>
      </c>
      <c r="X93" s="157">
        <v>5670000</v>
      </c>
      <c r="Y93" s="158">
        <v>45000</v>
      </c>
      <c r="Z93" s="32">
        <v>150000</v>
      </c>
      <c r="AA93" s="36" t="s">
        <v>376</v>
      </c>
      <c r="AB93" s="36" t="s">
        <v>383</v>
      </c>
      <c r="AC93" s="35">
        <v>12.202299999999999</v>
      </c>
      <c r="AD93" s="36" t="s">
        <v>384</v>
      </c>
      <c r="AE93" s="259"/>
      <c r="AF93" s="257"/>
      <c r="AG93" s="257"/>
      <c r="AH93" s="257"/>
      <c r="AI93" s="257"/>
      <c r="AJ93" s="258"/>
    </row>
    <row r="94" spans="2:36" s="1" customFormat="1" x14ac:dyDescent="0.25">
      <c r="B94" s="31" t="s">
        <v>90</v>
      </c>
      <c r="C94" s="31" t="s">
        <v>3</v>
      </c>
      <c r="D94" s="31" t="s">
        <v>91</v>
      </c>
      <c r="E94" s="31"/>
      <c r="F94" s="31"/>
      <c r="G94" s="124"/>
      <c r="H94" s="32">
        <f>SUM(H95:H96)</f>
        <v>5286396</v>
      </c>
      <c r="I94" s="32">
        <v>0</v>
      </c>
      <c r="J94" s="32">
        <f t="shared" si="37"/>
        <v>5286396</v>
      </c>
      <c r="K94" s="32"/>
      <c r="L94" s="32">
        <f t="shared" si="38"/>
        <v>5286396</v>
      </c>
      <c r="M94" s="32">
        <f>M95+M96</f>
        <v>2377355</v>
      </c>
      <c r="N94" s="32">
        <f>SUM(N95:N96)</f>
        <v>426922</v>
      </c>
      <c r="O94" s="32"/>
      <c r="P94" s="32">
        <f t="shared" si="36"/>
        <v>2804277</v>
      </c>
      <c r="Q94" s="32"/>
      <c r="R94" s="32">
        <f t="shared" si="39"/>
        <v>2804277</v>
      </c>
      <c r="S94" s="32"/>
      <c r="T94" s="32"/>
      <c r="U94" s="32"/>
      <c r="V94" s="32"/>
      <c r="W94" s="32"/>
      <c r="X94" s="32"/>
      <c r="Y94" s="32"/>
      <c r="Z94" s="32"/>
      <c r="AA94" s="36"/>
      <c r="AB94" s="36"/>
      <c r="AC94" s="36"/>
      <c r="AD94" s="36"/>
      <c r="AE94" s="259"/>
      <c r="AF94" s="260"/>
      <c r="AG94" s="260"/>
      <c r="AH94" s="260"/>
      <c r="AI94" s="260"/>
      <c r="AJ94" s="258"/>
    </row>
    <row r="95" spans="2:36" s="1" customFormat="1" x14ac:dyDescent="0.25">
      <c r="B95" s="47" t="s">
        <v>30</v>
      </c>
      <c r="C95" s="31" t="s">
        <v>0</v>
      </c>
      <c r="D95" s="31"/>
      <c r="E95" s="31"/>
      <c r="F95" s="31"/>
      <c r="G95" s="124"/>
      <c r="H95" s="32">
        <v>2793546</v>
      </c>
      <c r="I95" s="32">
        <v>0</v>
      </c>
      <c r="J95" s="32">
        <f t="shared" si="37"/>
        <v>2793546</v>
      </c>
      <c r="K95" s="32"/>
      <c r="L95" s="32">
        <f t="shared" si="38"/>
        <v>2793546</v>
      </c>
      <c r="M95" s="32">
        <v>1205282</v>
      </c>
      <c r="N95" s="32">
        <v>224473</v>
      </c>
      <c r="O95" s="32"/>
      <c r="P95" s="32">
        <f t="shared" si="36"/>
        <v>1429755</v>
      </c>
      <c r="Q95" s="32"/>
      <c r="R95" s="32">
        <f t="shared" si="39"/>
        <v>1429755</v>
      </c>
      <c r="S95" s="32"/>
      <c r="T95" s="32"/>
      <c r="U95" s="32"/>
      <c r="V95" s="32"/>
      <c r="W95" s="32"/>
      <c r="X95" s="32"/>
      <c r="Y95" s="32"/>
      <c r="Z95" s="32"/>
      <c r="AA95" s="36"/>
      <c r="AB95" s="36"/>
      <c r="AC95" s="36"/>
      <c r="AD95" s="36"/>
      <c r="AE95" s="259"/>
      <c r="AF95" s="260"/>
      <c r="AG95" s="260"/>
      <c r="AH95" s="260"/>
      <c r="AI95" s="260"/>
      <c r="AJ95" s="258"/>
    </row>
    <row r="96" spans="2:36" s="1" customFormat="1" x14ac:dyDescent="0.25">
      <c r="B96" s="60"/>
      <c r="C96" s="31" t="s">
        <v>33</v>
      </c>
      <c r="D96" s="31"/>
      <c r="E96" s="31"/>
      <c r="F96" s="31"/>
      <c r="G96" s="124"/>
      <c r="H96" s="32">
        <v>2492850</v>
      </c>
      <c r="I96" s="32">
        <v>0</v>
      </c>
      <c r="J96" s="32">
        <f t="shared" si="37"/>
        <v>2492850</v>
      </c>
      <c r="K96" s="32"/>
      <c r="L96" s="32">
        <f t="shared" si="38"/>
        <v>2492850</v>
      </c>
      <c r="M96" s="32">
        <v>1172073</v>
      </c>
      <c r="N96" s="32">
        <v>202449</v>
      </c>
      <c r="O96" s="32"/>
      <c r="P96" s="32">
        <f t="shared" si="36"/>
        <v>1374522</v>
      </c>
      <c r="Q96" s="32"/>
      <c r="R96" s="32">
        <f t="shared" si="39"/>
        <v>1374522</v>
      </c>
      <c r="S96" s="32"/>
      <c r="T96" s="32"/>
      <c r="U96" s="32"/>
      <c r="V96" s="32"/>
      <c r="W96" s="32"/>
      <c r="X96" s="32"/>
      <c r="Y96" s="32"/>
      <c r="Z96" s="32"/>
      <c r="AA96" s="36"/>
      <c r="AB96" s="36"/>
      <c r="AC96" s="36"/>
      <c r="AD96" s="36"/>
      <c r="AE96" s="259"/>
      <c r="AF96" s="260"/>
      <c r="AG96" s="260"/>
      <c r="AH96" s="260"/>
      <c r="AI96" s="260"/>
      <c r="AJ96" s="258"/>
    </row>
    <row r="97" spans="2:36" s="1" customFormat="1" x14ac:dyDescent="0.25">
      <c r="B97" s="31" t="s">
        <v>92</v>
      </c>
      <c r="C97" s="31" t="s">
        <v>0</v>
      </c>
      <c r="D97" s="31"/>
      <c r="E97" s="31"/>
      <c r="F97" s="31"/>
      <c r="G97" s="124"/>
      <c r="H97" s="32">
        <f>SUM(H98:H101)</f>
        <v>2097000</v>
      </c>
      <c r="I97" s="32">
        <f>SUM(I98:I101)</f>
        <v>150000</v>
      </c>
      <c r="J97" s="32">
        <f t="shared" si="37"/>
        <v>2247000</v>
      </c>
      <c r="K97" s="32"/>
      <c r="L97" s="32">
        <f t="shared" si="38"/>
        <v>2247000</v>
      </c>
      <c r="M97" s="32">
        <f t="shared" ref="M97" si="44">SUM(M98:M101)</f>
        <v>886500</v>
      </c>
      <c r="N97" s="32">
        <f>SUM(N98:N101)</f>
        <v>150000</v>
      </c>
      <c r="O97" s="32">
        <f t="shared" ref="O97" si="45">SUM(O98:O102)</f>
        <v>302520</v>
      </c>
      <c r="P97" s="32">
        <f t="shared" si="36"/>
        <v>1339020</v>
      </c>
      <c r="Q97" s="32"/>
      <c r="R97" s="32">
        <f t="shared" si="39"/>
        <v>1339020</v>
      </c>
      <c r="S97" s="32">
        <f t="shared" ref="S97" si="46">SUM(S98:S101)</f>
        <v>1000000</v>
      </c>
      <c r="T97" s="32"/>
      <c r="U97" s="32"/>
      <c r="V97" s="32"/>
      <c r="W97" s="32"/>
      <c r="X97" s="32"/>
      <c r="Y97" s="32"/>
      <c r="Z97" s="32"/>
      <c r="AA97" s="36"/>
      <c r="AB97" s="36"/>
      <c r="AC97" s="36"/>
      <c r="AD97" s="36"/>
      <c r="AE97" s="259"/>
      <c r="AF97" s="260"/>
      <c r="AG97" s="260"/>
      <c r="AH97" s="260"/>
      <c r="AI97" s="260"/>
      <c r="AJ97" s="258"/>
    </row>
    <row r="98" spans="2:36" s="1" customFormat="1" x14ac:dyDescent="0.25">
      <c r="B98" s="61" t="s">
        <v>93</v>
      </c>
      <c r="C98" s="49"/>
      <c r="D98" s="49" t="s">
        <v>91</v>
      </c>
      <c r="E98" s="49"/>
      <c r="F98" s="49"/>
      <c r="G98" s="152"/>
      <c r="H98" s="50">
        <v>697000</v>
      </c>
      <c r="I98" s="50">
        <v>150000</v>
      </c>
      <c r="J98" s="50">
        <f t="shared" si="37"/>
        <v>847000</v>
      </c>
      <c r="K98" s="50"/>
      <c r="L98" s="50">
        <f t="shared" si="38"/>
        <v>847000</v>
      </c>
      <c r="M98" s="50">
        <v>536500</v>
      </c>
      <c r="N98" s="50">
        <v>150000</v>
      </c>
      <c r="O98" s="50">
        <v>28000</v>
      </c>
      <c r="P98" s="50">
        <f t="shared" si="36"/>
        <v>714500</v>
      </c>
      <c r="Q98" s="50"/>
      <c r="R98" s="50">
        <f t="shared" si="39"/>
        <v>714500</v>
      </c>
      <c r="S98" s="50"/>
      <c r="T98" s="50"/>
      <c r="U98" s="50"/>
      <c r="V98" s="50"/>
      <c r="W98" s="50"/>
      <c r="X98" s="50"/>
      <c r="Y98" s="50"/>
      <c r="Z98" s="50"/>
      <c r="AA98" s="50"/>
      <c r="AB98" s="50"/>
      <c r="AC98" s="50"/>
      <c r="AD98" s="50"/>
      <c r="AE98" s="259"/>
      <c r="AF98" s="260"/>
      <c r="AG98" s="260"/>
      <c r="AH98" s="260"/>
      <c r="AI98" s="260"/>
      <c r="AJ98" s="258"/>
    </row>
    <row r="99" spans="2:36" s="1" customFormat="1" x14ac:dyDescent="0.25">
      <c r="B99" s="61" t="s">
        <v>94</v>
      </c>
      <c r="C99" s="49"/>
      <c r="D99" s="49" t="s">
        <v>91</v>
      </c>
      <c r="E99" s="49"/>
      <c r="F99" s="49"/>
      <c r="G99" s="152"/>
      <c r="H99" s="50">
        <v>1100000</v>
      </c>
      <c r="I99" s="50">
        <v>0</v>
      </c>
      <c r="J99" s="50">
        <f t="shared" si="37"/>
        <v>1100000</v>
      </c>
      <c r="K99" s="50"/>
      <c r="L99" s="50">
        <f t="shared" si="38"/>
        <v>1100000</v>
      </c>
      <c r="M99" s="50">
        <v>100000</v>
      </c>
      <c r="N99" s="50">
        <v>0</v>
      </c>
      <c r="O99" s="50"/>
      <c r="P99" s="50">
        <f t="shared" si="36"/>
        <v>100000</v>
      </c>
      <c r="Q99" s="50"/>
      <c r="R99" s="50">
        <f t="shared" si="39"/>
        <v>100000</v>
      </c>
      <c r="S99" s="241">
        <v>1000000</v>
      </c>
      <c r="T99" s="241"/>
      <c r="U99" s="241"/>
      <c r="V99" s="241"/>
      <c r="W99" s="241"/>
      <c r="X99" s="50"/>
      <c r="Y99" s="50"/>
      <c r="Z99" s="50"/>
      <c r="AA99" s="50"/>
      <c r="AB99" s="50"/>
      <c r="AC99" s="50"/>
      <c r="AD99" s="50"/>
      <c r="AE99" s="259"/>
      <c r="AF99" s="260"/>
      <c r="AG99" s="260"/>
      <c r="AH99" s="260"/>
      <c r="AI99" s="260"/>
      <c r="AJ99" s="258"/>
    </row>
    <row r="100" spans="2:36" s="1" customFormat="1" x14ac:dyDescent="0.25">
      <c r="B100" s="61" t="s">
        <v>95</v>
      </c>
      <c r="C100" s="49"/>
      <c r="D100" s="49" t="s">
        <v>91</v>
      </c>
      <c r="E100" s="49"/>
      <c r="F100" s="49"/>
      <c r="G100" s="152"/>
      <c r="H100" s="50">
        <v>200000</v>
      </c>
      <c r="I100" s="50">
        <v>0</v>
      </c>
      <c r="J100" s="50">
        <f t="shared" si="37"/>
        <v>200000</v>
      </c>
      <c r="K100" s="50"/>
      <c r="L100" s="50">
        <f t="shared" si="38"/>
        <v>200000</v>
      </c>
      <c r="M100" s="50">
        <v>150000</v>
      </c>
      <c r="N100" s="50">
        <v>0</v>
      </c>
      <c r="O100" s="50">
        <v>688</v>
      </c>
      <c r="P100" s="50">
        <f t="shared" si="36"/>
        <v>150688</v>
      </c>
      <c r="Q100" s="50"/>
      <c r="R100" s="50">
        <f t="shared" si="39"/>
        <v>150688</v>
      </c>
      <c r="S100" s="241"/>
      <c r="T100" s="241"/>
      <c r="U100" s="241"/>
      <c r="V100" s="241"/>
      <c r="W100" s="241"/>
      <c r="X100" s="50"/>
      <c r="Y100" s="50"/>
      <c r="Z100" s="50"/>
      <c r="AA100" s="50"/>
      <c r="AB100" s="50"/>
      <c r="AC100" s="50"/>
      <c r="AD100" s="50"/>
      <c r="AE100" s="259"/>
      <c r="AF100" s="260"/>
      <c r="AG100" s="260"/>
      <c r="AH100" s="260"/>
      <c r="AI100" s="260"/>
      <c r="AJ100" s="258"/>
    </row>
    <row r="101" spans="2:36" s="1" customFormat="1" ht="20.399999999999999" x14ac:dyDescent="0.25">
      <c r="B101" s="61" t="s">
        <v>96</v>
      </c>
      <c r="C101" s="49"/>
      <c r="D101" s="49" t="s">
        <v>91</v>
      </c>
      <c r="E101" s="49"/>
      <c r="F101" s="49"/>
      <c r="G101" s="152"/>
      <c r="H101" s="50">
        <v>100000</v>
      </c>
      <c r="I101" s="50">
        <v>0</v>
      </c>
      <c r="J101" s="50">
        <f t="shared" si="37"/>
        <v>100000</v>
      </c>
      <c r="K101" s="50"/>
      <c r="L101" s="50">
        <f t="shared" si="38"/>
        <v>100000</v>
      </c>
      <c r="M101" s="50">
        <v>100000</v>
      </c>
      <c r="N101" s="50">
        <v>0</v>
      </c>
      <c r="O101" s="50"/>
      <c r="P101" s="50">
        <f t="shared" si="36"/>
        <v>100000</v>
      </c>
      <c r="Q101" s="50"/>
      <c r="R101" s="50">
        <f t="shared" si="39"/>
        <v>100000</v>
      </c>
      <c r="S101" s="241"/>
      <c r="T101" s="241"/>
      <c r="U101" s="241"/>
      <c r="V101" s="241"/>
      <c r="W101" s="241"/>
      <c r="X101" s="50"/>
      <c r="Y101" s="50"/>
      <c r="Z101" s="50"/>
      <c r="AA101" s="50"/>
      <c r="AB101" s="50"/>
      <c r="AC101" s="50"/>
      <c r="AD101" s="50"/>
      <c r="AE101" s="259"/>
      <c r="AF101" s="260"/>
      <c r="AG101" s="260"/>
      <c r="AH101" s="260"/>
      <c r="AI101" s="260"/>
      <c r="AJ101" s="258"/>
    </row>
    <row r="102" spans="2:36" s="1" customFormat="1" x14ac:dyDescent="0.25">
      <c r="B102" s="27" t="s">
        <v>97</v>
      </c>
      <c r="C102" s="27" t="s">
        <v>3</v>
      </c>
      <c r="D102" s="27"/>
      <c r="E102" s="27"/>
      <c r="F102" s="27"/>
      <c r="G102" s="159"/>
      <c r="H102" s="28">
        <f>SUM(H103:H108)</f>
        <v>4935440</v>
      </c>
      <c r="I102" s="28">
        <f>SUM(I103:I108)</f>
        <v>1540064</v>
      </c>
      <c r="J102" s="28">
        <f t="shared" si="37"/>
        <v>6475504</v>
      </c>
      <c r="K102" s="28">
        <f>SUM(K103:K106)</f>
        <v>0</v>
      </c>
      <c r="L102" s="28">
        <f t="shared" si="38"/>
        <v>6475504</v>
      </c>
      <c r="M102" s="28">
        <f>SUM(M103:M106)</f>
        <v>1715600</v>
      </c>
      <c r="N102" s="28">
        <f>SUM(N103:N108)</f>
        <v>145064</v>
      </c>
      <c r="O102" s="28">
        <f>SUM(O103:O108)</f>
        <v>273832</v>
      </c>
      <c r="P102" s="28">
        <f t="shared" si="36"/>
        <v>2134496</v>
      </c>
      <c r="Q102" s="28"/>
      <c r="R102" s="28">
        <f t="shared" si="39"/>
        <v>2134496</v>
      </c>
      <c r="S102" s="235">
        <f t="shared" ref="S102:V102" si="47">SUM(S103:S108)</f>
        <v>3335000</v>
      </c>
      <c r="T102" s="235">
        <f t="shared" si="47"/>
        <v>200000</v>
      </c>
      <c r="U102" s="235">
        <f t="shared" si="47"/>
        <v>200000</v>
      </c>
      <c r="V102" s="235">
        <f t="shared" si="47"/>
        <v>200000</v>
      </c>
      <c r="W102" s="235">
        <f t="shared" ref="W102" si="48">SUM(W103:W108)</f>
        <v>140000</v>
      </c>
      <c r="X102" s="28">
        <f t="shared" ref="X102" si="49">SUM(X103:X108)</f>
        <v>3195000</v>
      </c>
      <c r="Y102" s="28">
        <f t="shared" ref="Y102" si="50">SUM(Y103:Y108)</f>
        <v>110000</v>
      </c>
      <c r="Z102" s="28">
        <f t="shared" ref="Z102" si="51">SUM(Z103:Z108)</f>
        <v>30000</v>
      </c>
      <c r="AA102" s="28">
        <f t="shared" ref="AA102:AC102" si="52">SUM(AA103:AA106)</f>
        <v>0</v>
      </c>
      <c r="AB102" s="28">
        <f t="shared" si="52"/>
        <v>0</v>
      </c>
      <c r="AC102" s="28">
        <f t="shared" si="52"/>
        <v>0</v>
      </c>
      <c r="AD102" s="64"/>
      <c r="AE102" s="259"/>
      <c r="AF102" s="260"/>
      <c r="AG102" s="260"/>
      <c r="AH102" s="260"/>
      <c r="AI102" s="260"/>
      <c r="AJ102" s="258"/>
    </row>
    <row r="103" spans="2:36" s="1" customFormat="1" ht="30.6" x14ac:dyDescent="0.25">
      <c r="B103" s="56" t="s">
        <v>98</v>
      </c>
      <c r="C103" s="57" t="s">
        <v>0</v>
      </c>
      <c r="D103" s="57" t="s">
        <v>91</v>
      </c>
      <c r="E103" s="57"/>
      <c r="F103" s="57"/>
      <c r="G103" s="156"/>
      <c r="H103" s="58">
        <v>385000</v>
      </c>
      <c r="I103" s="58">
        <v>0</v>
      </c>
      <c r="J103" s="58">
        <f t="shared" si="37"/>
        <v>385000</v>
      </c>
      <c r="K103" s="58"/>
      <c r="L103" s="58">
        <f t="shared" si="38"/>
        <v>385000</v>
      </c>
      <c r="M103" s="58">
        <v>355000</v>
      </c>
      <c r="N103" s="58">
        <v>0</v>
      </c>
      <c r="O103" s="58">
        <v>30000</v>
      </c>
      <c r="P103" s="58">
        <f t="shared" si="36"/>
        <v>385000</v>
      </c>
      <c r="Q103" s="58"/>
      <c r="R103" s="58">
        <f t="shared" si="39"/>
        <v>385000</v>
      </c>
      <c r="S103" s="240"/>
      <c r="T103" s="240"/>
      <c r="U103" s="240"/>
      <c r="V103" s="240"/>
      <c r="W103" s="240"/>
      <c r="X103" s="58"/>
      <c r="Y103" s="58"/>
      <c r="Z103" s="58"/>
      <c r="AA103" s="58"/>
      <c r="AB103" s="58"/>
      <c r="AC103" s="58"/>
      <c r="AD103" s="36" t="s">
        <v>385</v>
      </c>
      <c r="AE103" s="259"/>
      <c r="AF103" s="260"/>
      <c r="AG103" s="260"/>
      <c r="AH103" s="260"/>
      <c r="AI103" s="260"/>
      <c r="AJ103" s="258"/>
    </row>
    <row r="104" spans="2:36" s="37" customFormat="1" ht="30.6" x14ac:dyDescent="0.25">
      <c r="B104" s="56" t="s">
        <v>99</v>
      </c>
      <c r="C104" s="57" t="s">
        <v>0</v>
      </c>
      <c r="D104" s="57" t="s">
        <v>91</v>
      </c>
      <c r="E104" s="57"/>
      <c r="F104" s="57"/>
      <c r="G104" s="156"/>
      <c r="H104" s="58">
        <v>1002740</v>
      </c>
      <c r="I104" s="58">
        <v>0</v>
      </c>
      <c r="J104" s="58">
        <f t="shared" si="37"/>
        <v>1002740</v>
      </c>
      <c r="K104" s="58"/>
      <c r="L104" s="58">
        <f t="shared" si="38"/>
        <v>1002740</v>
      </c>
      <c r="M104" s="58">
        <v>600000</v>
      </c>
      <c r="N104" s="58">
        <v>0</v>
      </c>
      <c r="O104" s="58">
        <v>53427</v>
      </c>
      <c r="P104" s="58">
        <f t="shared" si="36"/>
        <v>653427</v>
      </c>
      <c r="Q104" s="58"/>
      <c r="R104" s="58">
        <f t="shared" si="39"/>
        <v>653427</v>
      </c>
      <c r="S104" s="240"/>
      <c r="T104" s="240"/>
      <c r="U104" s="240"/>
      <c r="V104" s="240"/>
      <c r="W104" s="240"/>
      <c r="X104" s="58"/>
      <c r="Y104" s="58"/>
      <c r="Z104" s="58"/>
      <c r="AA104" s="58"/>
      <c r="AB104" s="58"/>
      <c r="AC104" s="58"/>
      <c r="AD104" s="36" t="s">
        <v>386</v>
      </c>
      <c r="AE104" s="259"/>
      <c r="AF104" s="261"/>
      <c r="AG104" s="261"/>
      <c r="AH104" s="261"/>
      <c r="AI104" s="261"/>
      <c r="AJ104" s="258"/>
    </row>
    <row r="105" spans="2:36" ht="71.400000000000006" x14ac:dyDescent="0.25">
      <c r="B105" s="34" t="s">
        <v>100</v>
      </c>
      <c r="C105" s="35" t="s">
        <v>0</v>
      </c>
      <c r="D105" s="35" t="s">
        <v>91</v>
      </c>
      <c r="E105" s="35"/>
      <c r="F105" s="35"/>
      <c r="G105" s="127"/>
      <c r="H105" s="36">
        <v>1467700</v>
      </c>
      <c r="I105" s="36">
        <v>0</v>
      </c>
      <c r="J105" s="36">
        <f t="shared" si="37"/>
        <v>1467700</v>
      </c>
      <c r="K105" s="36"/>
      <c r="L105" s="36">
        <f t="shared" si="38"/>
        <v>1467700</v>
      </c>
      <c r="M105" s="36">
        <v>360600</v>
      </c>
      <c r="N105" s="36">
        <v>0</v>
      </c>
      <c r="O105" s="36">
        <v>147536</v>
      </c>
      <c r="P105" s="36">
        <f t="shared" si="36"/>
        <v>508136</v>
      </c>
      <c r="Q105" s="36"/>
      <c r="R105" s="36">
        <f t="shared" si="39"/>
        <v>508136</v>
      </c>
      <c r="S105" s="238">
        <v>400000</v>
      </c>
      <c r="T105" s="238">
        <v>200000</v>
      </c>
      <c r="U105" s="238">
        <v>200000</v>
      </c>
      <c r="V105" s="238">
        <v>200000</v>
      </c>
      <c r="W105" s="238"/>
      <c r="X105" s="36"/>
      <c r="Y105" s="36"/>
      <c r="Z105" s="36"/>
      <c r="AA105" s="36"/>
      <c r="AB105" s="36"/>
      <c r="AC105" s="36"/>
      <c r="AD105" s="36" t="s">
        <v>387</v>
      </c>
      <c r="AE105" s="259"/>
      <c r="AF105" s="257"/>
      <c r="AG105" s="257"/>
      <c r="AH105" s="257"/>
      <c r="AI105" s="257"/>
      <c r="AJ105" s="258"/>
    </row>
    <row r="106" spans="2:36" s="1" customFormat="1" ht="71.400000000000006" x14ac:dyDescent="0.25">
      <c r="B106" s="34" t="s">
        <v>101</v>
      </c>
      <c r="C106" s="35" t="s">
        <v>0</v>
      </c>
      <c r="D106" s="35" t="s">
        <v>37</v>
      </c>
      <c r="E106" s="35"/>
      <c r="F106" s="35" t="s">
        <v>314</v>
      </c>
      <c r="G106" s="127">
        <v>2023</v>
      </c>
      <c r="H106" s="36">
        <v>2080000</v>
      </c>
      <c r="I106" s="36">
        <v>1395000</v>
      </c>
      <c r="J106" s="36">
        <f t="shared" si="37"/>
        <v>3475000</v>
      </c>
      <c r="K106" s="36"/>
      <c r="L106" s="36">
        <f t="shared" si="38"/>
        <v>3475000</v>
      </c>
      <c r="M106" s="36">
        <v>400000</v>
      </c>
      <c r="N106" s="36">
        <v>0</v>
      </c>
      <c r="O106" s="36">
        <v>42869</v>
      </c>
      <c r="P106" s="36">
        <f t="shared" si="36"/>
        <v>442869</v>
      </c>
      <c r="Q106" s="36"/>
      <c r="R106" s="36">
        <f t="shared" si="39"/>
        <v>442869</v>
      </c>
      <c r="S106" s="125">
        <v>2935000</v>
      </c>
      <c r="T106" s="36"/>
      <c r="U106" s="36"/>
      <c r="V106" s="36"/>
      <c r="W106" s="36">
        <v>140000</v>
      </c>
      <c r="X106" s="36">
        <v>3195000</v>
      </c>
      <c r="Y106" s="36">
        <v>110000</v>
      </c>
      <c r="Z106" s="36">
        <v>30000</v>
      </c>
      <c r="AA106" s="36" t="s">
        <v>376</v>
      </c>
      <c r="AB106" s="36" t="s">
        <v>388</v>
      </c>
      <c r="AC106" s="36" t="s">
        <v>389</v>
      </c>
      <c r="AD106" s="160" t="s">
        <v>390</v>
      </c>
      <c r="AE106" s="259"/>
      <c r="AF106" s="260"/>
      <c r="AG106" s="260"/>
      <c r="AH106" s="260"/>
      <c r="AI106" s="260"/>
      <c r="AJ106" s="258"/>
    </row>
    <row r="107" spans="2:36" s="1" customFormat="1" x14ac:dyDescent="0.25">
      <c r="B107" s="217" t="s">
        <v>531</v>
      </c>
      <c r="C107" s="218" t="s">
        <v>0</v>
      </c>
      <c r="D107" s="218" t="s">
        <v>37</v>
      </c>
      <c r="E107" s="35"/>
      <c r="F107" s="35"/>
      <c r="G107" s="216"/>
      <c r="H107" s="36"/>
      <c r="I107" s="36">
        <v>45064</v>
      </c>
      <c r="J107" s="36">
        <f t="shared" si="37"/>
        <v>45064</v>
      </c>
      <c r="K107" s="36"/>
      <c r="L107" s="36">
        <f t="shared" si="38"/>
        <v>45064</v>
      </c>
      <c r="M107" s="36"/>
      <c r="N107" s="36">
        <v>45064</v>
      </c>
      <c r="O107" s="36"/>
      <c r="P107" s="36">
        <f t="shared" si="36"/>
        <v>45064</v>
      </c>
      <c r="Q107" s="36"/>
      <c r="R107" s="36">
        <f t="shared" si="39"/>
        <v>45064</v>
      </c>
      <c r="S107" s="125"/>
      <c r="T107" s="36"/>
      <c r="U107" s="36"/>
      <c r="V107" s="36"/>
      <c r="W107" s="36"/>
      <c r="X107" s="36"/>
      <c r="Y107" s="36"/>
      <c r="Z107" s="36"/>
      <c r="AA107" s="36"/>
      <c r="AB107" s="36"/>
      <c r="AC107" s="36"/>
      <c r="AD107" s="160"/>
      <c r="AE107" s="259"/>
      <c r="AF107" s="260"/>
      <c r="AG107" s="260"/>
      <c r="AH107" s="260"/>
      <c r="AI107" s="260"/>
      <c r="AJ107" s="258"/>
    </row>
    <row r="108" spans="2:36" s="1" customFormat="1" x14ac:dyDescent="0.25">
      <c r="B108" s="217" t="s">
        <v>532</v>
      </c>
      <c r="C108" s="218" t="s">
        <v>0</v>
      </c>
      <c r="D108" s="218" t="s">
        <v>91</v>
      </c>
      <c r="E108" s="35"/>
      <c r="F108" s="35"/>
      <c r="G108" s="216"/>
      <c r="H108" s="36"/>
      <c r="I108" s="36">
        <v>100000</v>
      </c>
      <c r="J108" s="36">
        <f t="shared" si="37"/>
        <v>100000</v>
      </c>
      <c r="K108" s="36"/>
      <c r="L108" s="36">
        <f t="shared" si="38"/>
        <v>100000</v>
      </c>
      <c r="M108" s="36"/>
      <c r="N108" s="36">
        <v>100000</v>
      </c>
      <c r="O108" s="36"/>
      <c r="P108" s="36">
        <f t="shared" si="36"/>
        <v>100000</v>
      </c>
      <c r="Q108" s="36"/>
      <c r="R108" s="36">
        <f t="shared" si="39"/>
        <v>100000</v>
      </c>
      <c r="S108" s="125"/>
      <c r="T108" s="36"/>
      <c r="U108" s="36"/>
      <c r="V108" s="36"/>
      <c r="W108" s="36"/>
      <c r="X108" s="36"/>
      <c r="Y108" s="36"/>
      <c r="Z108" s="36"/>
      <c r="AA108" s="36"/>
      <c r="AB108" s="36"/>
      <c r="AC108" s="36"/>
      <c r="AD108" s="160"/>
      <c r="AE108" s="259"/>
      <c r="AF108" s="260"/>
      <c r="AG108" s="260"/>
      <c r="AH108" s="260"/>
      <c r="AI108" s="260"/>
      <c r="AJ108" s="258"/>
    </row>
    <row r="109" spans="2:36" s="37" customFormat="1" ht="30.6" x14ac:dyDescent="0.25">
      <c r="B109" s="31" t="s">
        <v>102</v>
      </c>
      <c r="C109" s="31" t="s">
        <v>3</v>
      </c>
      <c r="D109" s="31" t="s">
        <v>91</v>
      </c>
      <c r="E109" s="31"/>
      <c r="F109" s="31"/>
      <c r="G109" s="181" t="s">
        <v>391</v>
      </c>
      <c r="H109" s="32">
        <f>H110+H111</f>
        <v>1550000</v>
      </c>
      <c r="I109" s="32">
        <v>0</v>
      </c>
      <c r="J109" s="32">
        <f t="shared" si="37"/>
        <v>1550000</v>
      </c>
      <c r="K109" s="32"/>
      <c r="L109" s="32">
        <f t="shared" si="38"/>
        <v>1550000</v>
      </c>
      <c r="M109" s="32">
        <v>550000</v>
      </c>
      <c r="N109" s="32">
        <f>N110+N111</f>
        <v>-200000</v>
      </c>
      <c r="O109" s="32"/>
      <c r="P109" s="32">
        <f t="shared" si="36"/>
        <v>350000</v>
      </c>
      <c r="Q109" s="32"/>
      <c r="R109" s="32">
        <f t="shared" si="39"/>
        <v>350000</v>
      </c>
      <c r="S109" s="32">
        <f t="shared" ref="S109:Z109" si="53">S110+S111</f>
        <v>300000</v>
      </c>
      <c r="T109" s="32">
        <f t="shared" si="53"/>
        <v>200000</v>
      </c>
      <c r="U109" s="32">
        <f t="shared" si="53"/>
        <v>0</v>
      </c>
      <c r="V109" s="32">
        <f t="shared" si="53"/>
        <v>0</v>
      </c>
      <c r="W109" s="32">
        <f t="shared" si="53"/>
        <v>150000</v>
      </c>
      <c r="X109" s="32">
        <f t="shared" si="53"/>
        <v>200000</v>
      </c>
      <c r="Y109" s="32">
        <f t="shared" si="53"/>
        <v>0</v>
      </c>
      <c r="Z109" s="32">
        <f t="shared" si="53"/>
        <v>150000</v>
      </c>
      <c r="AA109" s="36"/>
      <c r="AB109" s="36"/>
      <c r="AC109" s="36"/>
      <c r="AD109" s="36" t="s">
        <v>392</v>
      </c>
      <c r="AE109" s="259"/>
      <c r="AF109" s="261"/>
      <c r="AG109" s="261"/>
      <c r="AH109" s="261"/>
      <c r="AI109" s="261"/>
      <c r="AJ109" s="258"/>
    </row>
    <row r="110" spans="2:36" s="37" customFormat="1" x14ac:dyDescent="0.25">
      <c r="B110" s="31"/>
      <c r="C110" s="31" t="s">
        <v>0</v>
      </c>
      <c r="D110" s="31"/>
      <c r="E110" s="31"/>
      <c r="F110" s="31"/>
      <c r="G110" s="124"/>
      <c r="H110" s="32">
        <v>1300000</v>
      </c>
      <c r="I110" s="32">
        <v>0</v>
      </c>
      <c r="J110" s="32">
        <f t="shared" si="37"/>
        <v>1300000</v>
      </c>
      <c r="K110" s="32"/>
      <c r="L110" s="32">
        <f t="shared" si="38"/>
        <v>1300000</v>
      </c>
      <c r="M110" s="32">
        <v>550000</v>
      </c>
      <c r="N110" s="32">
        <v>-200000</v>
      </c>
      <c r="O110" s="32"/>
      <c r="P110" s="32">
        <f t="shared" si="36"/>
        <v>350000</v>
      </c>
      <c r="Q110" s="32"/>
      <c r="R110" s="32">
        <f t="shared" si="39"/>
        <v>350000</v>
      </c>
      <c r="S110" s="32">
        <v>300000</v>
      </c>
      <c r="T110" s="32">
        <v>200000</v>
      </c>
      <c r="U110" s="32"/>
      <c r="V110" s="32"/>
      <c r="W110" s="242">
        <v>150000</v>
      </c>
      <c r="X110" s="242">
        <v>200000</v>
      </c>
      <c r="Y110" s="242"/>
      <c r="Z110" s="242">
        <v>150000</v>
      </c>
      <c r="AA110" s="36"/>
      <c r="AB110" s="36"/>
      <c r="AC110" s="36"/>
      <c r="AD110" s="36"/>
      <c r="AE110" s="259"/>
      <c r="AF110" s="261"/>
      <c r="AG110" s="261"/>
      <c r="AH110" s="261"/>
      <c r="AI110" s="261"/>
      <c r="AJ110" s="258"/>
    </row>
    <row r="111" spans="2:36" s="37" customFormat="1" x14ac:dyDescent="0.25">
      <c r="B111" s="31"/>
      <c r="C111" s="31" t="s">
        <v>31</v>
      </c>
      <c r="D111" s="31"/>
      <c r="E111" s="31"/>
      <c r="F111" s="31"/>
      <c r="G111" s="124"/>
      <c r="H111" s="32">
        <v>250000</v>
      </c>
      <c r="I111" s="32">
        <v>0</v>
      </c>
      <c r="J111" s="32">
        <f t="shared" si="37"/>
        <v>250000</v>
      </c>
      <c r="K111" s="32"/>
      <c r="L111" s="32">
        <f t="shared" si="38"/>
        <v>250000</v>
      </c>
      <c r="M111" s="32">
        <v>0</v>
      </c>
      <c r="N111" s="32">
        <v>0</v>
      </c>
      <c r="O111" s="32"/>
      <c r="P111" s="32">
        <f t="shared" si="36"/>
        <v>0</v>
      </c>
      <c r="Q111" s="32"/>
      <c r="R111" s="32">
        <f t="shared" si="39"/>
        <v>0</v>
      </c>
      <c r="S111" s="32"/>
      <c r="T111" s="32"/>
      <c r="U111" s="32"/>
      <c r="V111" s="32"/>
      <c r="W111" s="32"/>
      <c r="X111" s="32"/>
      <c r="Y111" s="32"/>
      <c r="Z111" s="32"/>
      <c r="AA111" s="36"/>
      <c r="AB111" s="36"/>
      <c r="AC111" s="36"/>
      <c r="AD111" s="36"/>
      <c r="AE111" s="259"/>
      <c r="AF111" s="261"/>
      <c r="AG111" s="261"/>
      <c r="AH111" s="261"/>
      <c r="AI111" s="261"/>
      <c r="AJ111" s="258"/>
    </row>
    <row r="112" spans="2:36" s="1" customFormat="1" x14ac:dyDescent="0.25">
      <c r="B112" s="31" t="s">
        <v>103</v>
      </c>
      <c r="C112" s="31" t="s">
        <v>0</v>
      </c>
      <c r="D112" s="31" t="s">
        <v>104</v>
      </c>
      <c r="E112" s="31"/>
      <c r="F112" s="31"/>
      <c r="G112" s="124"/>
      <c r="H112" s="32">
        <f>SUM(H113:H116)</f>
        <v>2851000</v>
      </c>
      <c r="I112" s="32">
        <f>SUM(I113:I116)</f>
        <v>24000</v>
      </c>
      <c r="J112" s="32">
        <f t="shared" si="37"/>
        <v>2875000</v>
      </c>
      <c r="K112" s="32"/>
      <c r="L112" s="32">
        <f t="shared" si="38"/>
        <v>2875000</v>
      </c>
      <c r="M112" s="32">
        <f t="shared" ref="M112" si="54">SUM(M113:M115)</f>
        <v>520000</v>
      </c>
      <c r="N112" s="32">
        <f>SUM(N113:N116)</f>
        <v>24000</v>
      </c>
      <c r="O112" s="32">
        <f>SUM(O113:O116)</f>
        <v>37514</v>
      </c>
      <c r="P112" s="32">
        <f t="shared" si="36"/>
        <v>581514</v>
      </c>
      <c r="Q112" s="32"/>
      <c r="R112" s="32">
        <f t="shared" si="39"/>
        <v>581514</v>
      </c>
      <c r="S112" s="32">
        <f t="shared" ref="S112:U112" si="55">SUM(S113:S116)</f>
        <v>600000</v>
      </c>
      <c r="T112" s="32">
        <f t="shared" si="55"/>
        <v>600000</v>
      </c>
      <c r="U112" s="32">
        <f t="shared" si="55"/>
        <v>600000</v>
      </c>
      <c r="V112" s="32">
        <f>SUM(V113:V116)</f>
        <v>650000</v>
      </c>
      <c r="W112" s="32">
        <f t="shared" ref="W112:Z112" si="56">SUM(W113:W116)</f>
        <v>0</v>
      </c>
      <c r="X112" s="32">
        <f t="shared" si="56"/>
        <v>0</v>
      </c>
      <c r="Y112" s="32">
        <f t="shared" si="56"/>
        <v>0</v>
      </c>
      <c r="Z112" s="32">
        <f t="shared" si="56"/>
        <v>0</v>
      </c>
      <c r="AA112" s="36"/>
      <c r="AB112" s="36"/>
      <c r="AC112" s="36"/>
      <c r="AD112" s="36"/>
      <c r="AE112" s="259"/>
      <c r="AF112" s="260"/>
      <c r="AG112" s="260"/>
      <c r="AH112" s="260"/>
      <c r="AI112" s="260"/>
      <c r="AJ112" s="258"/>
    </row>
    <row r="113" spans="1:36" s="37" customFormat="1" ht="142.80000000000001" x14ac:dyDescent="0.25">
      <c r="B113" s="62" t="s">
        <v>105</v>
      </c>
      <c r="C113" s="63"/>
      <c r="D113" s="63"/>
      <c r="E113" s="63"/>
      <c r="F113" s="63"/>
      <c r="G113" s="161"/>
      <c r="H113" s="64">
        <v>1000000</v>
      </c>
      <c r="I113" s="64">
        <v>0</v>
      </c>
      <c r="J113" s="64">
        <f t="shared" si="37"/>
        <v>1000000</v>
      </c>
      <c r="K113" s="64"/>
      <c r="L113" s="64">
        <f t="shared" si="38"/>
        <v>1000000</v>
      </c>
      <c r="M113" s="64">
        <v>270000</v>
      </c>
      <c r="N113" s="64">
        <v>0</v>
      </c>
      <c r="O113" s="64">
        <v>18071</v>
      </c>
      <c r="P113" s="64">
        <f t="shared" si="36"/>
        <v>288071</v>
      </c>
      <c r="Q113" s="64"/>
      <c r="R113" s="64">
        <f t="shared" si="39"/>
        <v>288071</v>
      </c>
      <c r="S113" s="64">
        <v>150000</v>
      </c>
      <c r="T113" s="64">
        <v>150000</v>
      </c>
      <c r="U113" s="64">
        <v>150000</v>
      </c>
      <c r="V113" s="64">
        <v>150000</v>
      </c>
      <c r="W113" s="64"/>
      <c r="X113" s="64"/>
      <c r="Y113" s="64"/>
      <c r="Z113" s="64"/>
      <c r="AA113" s="64"/>
      <c r="AB113" s="64"/>
      <c r="AC113" s="64"/>
      <c r="AD113" s="64" t="s">
        <v>393</v>
      </c>
      <c r="AE113" s="259"/>
      <c r="AF113" s="261"/>
      <c r="AG113" s="261"/>
      <c r="AH113" s="261"/>
      <c r="AI113" s="261"/>
      <c r="AJ113" s="258"/>
    </row>
    <row r="114" spans="1:36" s="37" customFormat="1" ht="51" x14ac:dyDescent="0.25">
      <c r="B114" s="65" t="s">
        <v>106</v>
      </c>
      <c r="C114" s="63"/>
      <c r="D114" s="63"/>
      <c r="E114" s="63"/>
      <c r="F114" s="63"/>
      <c r="G114" s="161"/>
      <c r="H114" s="64">
        <v>520000</v>
      </c>
      <c r="I114" s="64">
        <v>0</v>
      </c>
      <c r="J114" s="64">
        <f t="shared" si="37"/>
        <v>520000</v>
      </c>
      <c r="K114" s="243">
        <v>650000</v>
      </c>
      <c r="L114" s="64">
        <f t="shared" si="38"/>
        <v>1170000</v>
      </c>
      <c r="M114" s="64">
        <v>120000</v>
      </c>
      <c r="N114" s="64">
        <v>0</v>
      </c>
      <c r="O114" s="64">
        <v>19323</v>
      </c>
      <c r="P114" s="64">
        <f t="shared" si="36"/>
        <v>139323</v>
      </c>
      <c r="Q114" s="64"/>
      <c r="R114" s="64">
        <f t="shared" si="39"/>
        <v>139323</v>
      </c>
      <c r="S114" s="64">
        <v>250000</v>
      </c>
      <c r="T114" s="64">
        <v>250000</v>
      </c>
      <c r="U114" s="64">
        <v>250000</v>
      </c>
      <c r="V114" s="64">
        <v>300000</v>
      </c>
      <c r="W114" s="64"/>
      <c r="X114" s="64"/>
      <c r="Y114" s="64"/>
      <c r="Z114" s="64"/>
      <c r="AA114" s="64"/>
      <c r="AB114" s="64"/>
      <c r="AC114" s="64"/>
      <c r="AD114" s="64" t="s">
        <v>394</v>
      </c>
      <c r="AE114" s="259"/>
      <c r="AF114" s="261"/>
      <c r="AG114" s="261"/>
      <c r="AH114" s="261"/>
      <c r="AI114" s="261"/>
      <c r="AJ114" s="258"/>
    </row>
    <row r="115" spans="1:36" s="37" customFormat="1" ht="40.799999999999997" x14ac:dyDescent="0.25">
      <c r="B115" s="65" t="s">
        <v>107</v>
      </c>
      <c r="C115" s="63"/>
      <c r="D115" s="63"/>
      <c r="E115" s="63"/>
      <c r="F115" s="63"/>
      <c r="G115" s="161"/>
      <c r="H115" s="64">
        <v>1331000</v>
      </c>
      <c r="I115" s="64">
        <v>0</v>
      </c>
      <c r="J115" s="64">
        <f t="shared" si="37"/>
        <v>1331000</v>
      </c>
      <c r="K115" s="243"/>
      <c r="L115" s="64">
        <f t="shared" si="38"/>
        <v>1331000</v>
      </c>
      <c r="M115" s="64">
        <v>130000</v>
      </c>
      <c r="N115" s="64">
        <v>0</v>
      </c>
      <c r="O115" s="64">
        <v>120</v>
      </c>
      <c r="P115" s="64">
        <f t="shared" si="36"/>
        <v>130120</v>
      </c>
      <c r="Q115" s="64"/>
      <c r="R115" s="64">
        <f t="shared" si="39"/>
        <v>130120</v>
      </c>
      <c r="S115" s="64">
        <v>200000</v>
      </c>
      <c r="T115" s="64">
        <v>200000</v>
      </c>
      <c r="U115" s="64">
        <v>200000</v>
      </c>
      <c r="V115" s="64">
        <v>200000</v>
      </c>
      <c r="W115" s="64"/>
      <c r="X115" s="64"/>
      <c r="Y115" s="64"/>
      <c r="Z115" s="64"/>
      <c r="AA115" s="64"/>
      <c r="AB115" s="64"/>
      <c r="AC115" s="64"/>
      <c r="AD115" s="64" t="s">
        <v>395</v>
      </c>
      <c r="AE115" s="259"/>
      <c r="AF115" s="261"/>
      <c r="AG115" s="261"/>
      <c r="AH115" s="261"/>
      <c r="AI115" s="261"/>
      <c r="AJ115" s="258"/>
    </row>
    <row r="116" spans="1:36" s="37" customFormat="1" x14ac:dyDescent="0.25">
      <c r="B116" s="219" t="s">
        <v>533</v>
      </c>
      <c r="C116" s="220"/>
      <c r="D116" s="220" t="s">
        <v>314</v>
      </c>
      <c r="E116" s="63"/>
      <c r="F116" s="63"/>
      <c r="G116" s="161"/>
      <c r="H116" s="64"/>
      <c r="I116" s="64">
        <v>24000</v>
      </c>
      <c r="J116" s="64">
        <f t="shared" si="37"/>
        <v>24000</v>
      </c>
      <c r="K116" s="243"/>
      <c r="L116" s="64">
        <f t="shared" si="38"/>
        <v>24000</v>
      </c>
      <c r="M116" s="64"/>
      <c r="N116" s="64">
        <v>24000</v>
      </c>
      <c r="O116" s="64"/>
      <c r="P116" s="64">
        <f t="shared" si="36"/>
        <v>24000</v>
      </c>
      <c r="Q116" s="64"/>
      <c r="R116" s="64">
        <f t="shared" si="39"/>
        <v>24000</v>
      </c>
      <c r="S116" s="64"/>
      <c r="T116" s="64"/>
      <c r="U116" s="64"/>
      <c r="V116" s="64"/>
      <c r="W116" s="64"/>
      <c r="X116" s="64"/>
      <c r="Y116" s="64"/>
      <c r="Z116" s="64"/>
      <c r="AA116" s="64"/>
      <c r="AB116" s="64"/>
      <c r="AC116" s="64"/>
      <c r="AD116" s="64"/>
      <c r="AE116" s="259"/>
      <c r="AF116" s="261"/>
      <c r="AG116" s="261"/>
      <c r="AH116" s="261"/>
      <c r="AI116" s="261"/>
      <c r="AJ116" s="258"/>
    </row>
    <row r="117" spans="1:36" s="1" customFormat="1" ht="71.400000000000006" x14ac:dyDescent="0.25">
      <c r="B117" s="66" t="s">
        <v>108</v>
      </c>
      <c r="C117" s="66" t="s">
        <v>0</v>
      </c>
      <c r="D117" s="66" t="s">
        <v>104</v>
      </c>
      <c r="E117" s="66"/>
      <c r="F117" s="66"/>
      <c r="G117" s="162"/>
      <c r="H117" s="67">
        <v>1100000</v>
      </c>
      <c r="I117" s="67">
        <v>400000</v>
      </c>
      <c r="J117" s="67">
        <f t="shared" si="37"/>
        <v>1500000</v>
      </c>
      <c r="K117" s="244">
        <f>1080000-400000</f>
        <v>680000</v>
      </c>
      <c r="L117" s="67">
        <f t="shared" si="38"/>
        <v>2180000</v>
      </c>
      <c r="M117" s="67">
        <v>380000</v>
      </c>
      <c r="N117" s="67">
        <v>120000</v>
      </c>
      <c r="O117" s="55">
        <v>204194</v>
      </c>
      <c r="P117" s="67">
        <f t="shared" si="36"/>
        <v>704194</v>
      </c>
      <c r="Q117" s="67"/>
      <c r="R117" s="67">
        <f t="shared" si="39"/>
        <v>704194</v>
      </c>
      <c r="S117" s="67">
        <v>450000</v>
      </c>
      <c r="T117" s="67">
        <v>450000</v>
      </c>
      <c r="U117" s="67">
        <v>450000</v>
      </c>
      <c r="V117" s="67">
        <v>450000</v>
      </c>
      <c r="W117" s="67"/>
      <c r="X117" s="67"/>
      <c r="Y117" s="67"/>
      <c r="Z117" s="67"/>
      <c r="AA117" s="50"/>
      <c r="AB117" s="50"/>
      <c r="AC117" s="50"/>
      <c r="AD117" s="50" t="s">
        <v>396</v>
      </c>
      <c r="AE117" s="259"/>
      <c r="AF117" s="260"/>
      <c r="AG117" s="260"/>
      <c r="AH117" s="260"/>
      <c r="AI117" s="260"/>
      <c r="AJ117" s="258"/>
    </row>
    <row r="118" spans="1:36" s="1" customFormat="1" ht="26.4" x14ac:dyDescent="0.25">
      <c r="B118" s="66" t="s">
        <v>109</v>
      </c>
      <c r="C118" s="66" t="s">
        <v>0</v>
      </c>
      <c r="D118" s="66" t="s">
        <v>104</v>
      </c>
      <c r="E118" s="66"/>
      <c r="F118" s="66"/>
      <c r="G118" s="162"/>
      <c r="H118" s="67">
        <v>360000</v>
      </c>
      <c r="I118" s="67">
        <v>0</v>
      </c>
      <c r="J118" s="67">
        <f t="shared" si="37"/>
        <v>360000</v>
      </c>
      <c r="K118" s="67"/>
      <c r="L118" s="67">
        <f t="shared" si="38"/>
        <v>360000</v>
      </c>
      <c r="M118" s="67">
        <v>360000</v>
      </c>
      <c r="N118" s="67">
        <v>-350000</v>
      </c>
      <c r="O118" s="55">
        <v>10000</v>
      </c>
      <c r="P118" s="67">
        <f t="shared" si="36"/>
        <v>20000</v>
      </c>
      <c r="Q118" s="67"/>
      <c r="R118" s="67">
        <f t="shared" si="39"/>
        <v>20000</v>
      </c>
      <c r="S118" s="67"/>
      <c r="T118" s="67"/>
      <c r="U118" s="67"/>
      <c r="V118" s="67"/>
      <c r="W118" s="67"/>
      <c r="X118" s="67"/>
      <c r="Y118" s="67"/>
      <c r="Z118" s="67"/>
      <c r="AA118" s="50"/>
      <c r="AB118" s="50"/>
      <c r="AC118" s="50"/>
      <c r="AD118" s="50"/>
      <c r="AE118" s="259"/>
      <c r="AF118" s="260"/>
      <c r="AG118" s="260"/>
      <c r="AH118" s="260"/>
      <c r="AI118" s="260"/>
      <c r="AJ118" s="258"/>
    </row>
    <row r="119" spans="1:36" s="2" customFormat="1" ht="30.6" x14ac:dyDescent="0.25">
      <c r="B119" s="68" t="s">
        <v>110</v>
      </c>
      <c r="C119" s="69" t="s">
        <v>0</v>
      </c>
      <c r="D119" s="69" t="s">
        <v>91</v>
      </c>
      <c r="E119" s="69"/>
      <c r="F119" s="69"/>
      <c r="G119" s="163" t="s">
        <v>391</v>
      </c>
      <c r="H119" s="70">
        <v>3500000</v>
      </c>
      <c r="I119" s="70">
        <v>0</v>
      </c>
      <c r="J119" s="70">
        <f t="shared" si="37"/>
        <v>3500000</v>
      </c>
      <c r="K119" s="70"/>
      <c r="L119" s="70">
        <f t="shared" si="38"/>
        <v>3500000</v>
      </c>
      <c r="M119" s="70">
        <v>200000</v>
      </c>
      <c r="N119" s="70">
        <v>0</v>
      </c>
      <c r="O119" s="230">
        <v>69477</v>
      </c>
      <c r="P119" s="70">
        <f t="shared" si="36"/>
        <v>269477</v>
      </c>
      <c r="Q119" s="70"/>
      <c r="R119" s="70">
        <f t="shared" si="39"/>
        <v>269477</v>
      </c>
      <c r="S119" s="70"/>
      <c r="T119" s="70"/>
      <c r="U119" s="70"/>
      <c r="V119" s="70"/>
      <c r="W119" s="70"/>
      <c r="X119" s="70"/>
      <c r="Y119" s="70"/>
      <c r="Z119" s="70"/>
      <c r="AA119" s="105"/>
      <c r="AB119" s="105"/>
      <c r="AC119" s="105"/>
      <c r="AD119" s="105" t="s">
        <v>397</v>
      </c>
      <c r="AE119" s="259"/>
      <c r="AF119" s="263"/>
      <c r="AG119" s="263"/>
      <c r="AH119" s="263"/>
      <c r="AI119" s="263"/>
      <c r="AJ119" s="258"/>
    </row>
    <row r="120" spans="1:36" ht="40.799999999999997" x14ac:dyDescent="0.25">
      <c r="B120" s="182" t="s">
        <v>111</v>
      </c>
      <c r="C120" s="182" t="s">
        <v>0</v>
      </c>
      <c r="D120" s="182" t="s">
        <v>37</v>
      </c>
      <c r="E120" s="182"/>
      <c r="F120" s="182" t="s">
        <v>294</v>
      </c>
      <c r="G120" s="181">
        <v>2022</v>
      </c>
      <c r="H120" s="183">
        <v>530000</v>
      </c>
      <c r="I120" s="183">
        <v>0</v>
      </c>
      <c r="J120" s="183">
        <f t="shared" si="37"/>
        <v>530000</v>
      </c>
      <c r="K120" s="183"/>
      <c r="L120" s="183">
        <f t="shared" si="38"/>
        <v>530000</v>
      </c>
      <c r="M120" s="183">
        <v>290000</v>
      </c>
      <c r="N120" s="183">
        <v>0</v>
      </c>
      <c r="O120" s="55">
        <v>224179</v>
      </c>
      <c r="P120" s="183">
        <f t="shared" si="36"/>
        <v>514179</v>
      </c>
      <c r="Q120" s="183"/>
      <c r="R120" s="183">
        <f t="shared" si="39"/>
        <v>514179</v>
      </c>
      <c r="S120" s="183"/>
      <c r="T120" s="183"/>
      <c r="U120" s="183"/>
      <c r="V120" s="183"/>
      <c r="W120" s="183">
        <v>10800</v>
      </c>
      <c r="X120" s="183">
        <v>451000</v>
      </c>
      <c r="Y120" s="183">
        <v>30000</v>
      </c>
      <c r="Z120" s="183">
        <v>38200</v>
      </c>
      <c r="AA120" s="183"/>
      <c r="AB120" s="183" t="s">
        <v>398</v>
      </c>
      <c r="AC120" s="183" t="s">
        <v>399</v>
      </c>
      <c r="AD120" s="184" t="s">
        <v>400</v>
      </c>
      <c r="AE120" s="259"/>
      <c r="AF120" s="257"/>
      <c r="AG120" s="257"/>
      <c r="AH120" s="257"/>
      <c r="AI120" s="257"/>
      <c r="AJ120" s="258"/>
    </row>
    <row r="121" spans="1:36" s="1" customFormat="1" ht="30.6" x14ac:dyDescent="0.25">
      <c r="B121" s="71" t="s">
        <v>112</v>
      </c>
      <c r="C121" s="71" t="s">
        <v>0</v>
      </c>
      <c r="D121" s="71" t="s">
        <v>37</v>
      </c>
      <c r="E121" s="71"/>
      <c r="F121" s="71" t="s">
        <v>331</v>
      </c>
      <c r="G121" s="164">
        <v>2022</v>
      </c>
      <c r="H121" s="72">
        <v>400000</v>
      </c>
      <c r="I121" s="72">
        <v>0</v>
      </c>
      <c r="J121" s="72">
        <f t="shared" si="37"/>
        <v>400000</v>
      </c>
      <c r="K121" s="72"/>
      <c r="L121" s="72">
        <f t="shared" si="38"/>
        <v>400000</v>
      </c>
      <c r="M121" s="72">
        <v>400000</v>
      </c>
      <c r="N121" s="72">
        <v>-300000</v>
      </c>
      <c r="O121" s="72"/>
      <c r="P121" s="72">
        <f t="shared" si="36"/>
        <v>100000</v>
      </c>
      <c r="Q121" s="72"/>
      <c r="R121" s="72">
        <f t="shared" si="39"/>
        <v>100000</v>
      </c>
      <c r="S121" s="72"/>
      <c r="T121" s="72"/>
      <c r="U121" s="72"/>
      <c r="V121" s="72"/>
      <c r="W121" s="72">
        <v>40000</v>
      </c>
      <c r="X121" s="72">
        <v>290000</v>
      </c>
      <c r="Y121" s="72">
        <v>50000</v>
      </c>
      <c r="Z121" s="72">
        <v>20000</v>
      </c>
      <c r="AA121" s="165" t="s">
        <v>401</v>
      </c>
      <c r="AB121" s="165" t="s">
        <v>402</v>
      </c>
      <c r="AC121" s="165" t="s">
        <v>321</v>
      </c>
      <c r="AD121" s="165" t="s">
        <v>403</v>
      </c>
      <c r="AE121" s="259"/>
      <c r="AF121" s="260"/>
      <c r="AG121" s="260"/>
      <c r="AH121" s="260"/>
      <c r="AI121" s="260"/>
      <c r="AJ121" s="258"/>
    </row>
    <row r="122" spans="1:36" s="1" customFormat="1" ht="81.599999999999994" x14ac:dyDescent="0.25">
      <c r="B122" s="54" t="s">
        <v>113</v>
      </c>
      <c r="C122" s="54" t="s">
        <v>0</v>
      </c>
      <c r="D122" s="54" t="s">
        <v>37</v>
      </c>
      <c r="E122" s="54"/>
      <c r="F122" s="54" t="s">
        <v>331</v>
      </c>
      <c r="G122" s="154">
        <v>2022</v>
      </c>
      <c r="H122" s="55">
        <v>300000</v>
      </c>
      <c r="I122" s="55">
        <v>0</v>
      </c>
      <c r="J122" s="55">
        <f t="shared" si="37"/>
        <v>300000</v>
      </c>
      <c r="K122" s="55"/>
      <c r="L122" s="55">
        <f t="shared" si="38"/>
        <v>300000</v>
      </c>
      <c r="M122" s="55">
        <v>100000</v>
      </c>
      <c r="N122" s="55">
        <v>0</v>
      </c>
      <c r="O122" s="55">
        <v>35953</v>
      </c>
      <c r="P122" s="55">
        <f t="shared" si="36"/>
        <v>135953</v>
      </c>
      <c r="Q122" s="55"/>
      <c r="R122" s="55">
        <f t="shared" si="39"/>
        <v>135953</v>
      </c>
      <c r="S122" s="55"/>
      <c r="T122" s="55"/>
      <c r="U122" s="55"/>
      <c r="V122" s="55"/>
      <c r="W122" s="55"/>
      <c r="X122" s="55">
        <v>93000</v>
      </c>
      <c r="Y122" s="55"/>
      <c r="Z122" s="55">
        <v>7000</v>
      </c>
      <c r="AA122" s="58" t="s">
        <v>376</v>
      </c>
      <c r="AB122" s="58" t="s">
        <v>404</v>
      </c>
      <c r="AC122" s="58" t="s">
        <v>405</v>
      </c>
      <c r="AD122" s="36" t="s">
        <v>406</v>
      </c>
      <c r="AE122" s="259"/>
      <c r="AF122" s="260"/>
      <c r="AG122" s="260"/>
      <c r="AH122" s="260"/>
      <c r="AI122" s="260"/>
      <c r="AJ122" s="258"/>
    </row>
    <row r="123" spans="1:36" s="1" customFormat="1" ht="51" x14ac:dyDescent="0.25">
      <c r="B123" s="31" t="s">
        <v>114</v>
      </c>
      <c r="C123" s="31" t="s">
        <v>0</v>
      </c>
      <c r="D123" s="31" t="s">
        <v>37</v>
      </c>
      <c r="E123" s="31"/>
      <c r="F123" s="31" t="s">
        <v>294</v>
      </c>
      <c r="G123" s="124">
        <v>2022</v>
      </c>
      <c r="H123" s="32">
        <v>300000</v>
      </c>
      <c r="I123" s="32">
        <v>100000</v>
      </c>
      <c r="J123" s="32">
        <f t="shared" si="37"/>
        <v>400000</v>
      </c>
      <c r="K123" s="32"/>
      <c r="L123" s="32">
        <f t="shared" si="38"/>
        <v>400000</v>
      </c>
      <c r="M123" s="32">
        <v>300000</v>
      </c>
      <c r="N123" s="32">
        <v>100000</v>
      </c>
      <c r="O123" s="32"/>
      <c r="P123" s="32">
        <f t="shared" si="36"/>
        <v>400000</v>
      </c>
      <c r="Q123" s="32"/>
      <c r="R123" s="32">
        <f t="shared" si="39"/>
        <v>400000</v>
      </c>
      <c r="S123" s="32"/>
      <c r="T123" s="32"/>
      <c r="U123" s="32"/>
      <c r="V123" s="32"/>
      <c r="W123" s="32"/>
      <c r="X123" s="32">
        <v>340000</v>
      </c>
      <c r="Y123" s="32"/>
      <c r="Z123" s="32">
        <v>20000</v>
      </c>
      <c r="AA123" s="36" t="s">
        <v>407</v>
      </c>
      <c r="AB123" s="36" t="s">
        <v>408</v>
      </c>
      <c r="AC123" s="36"/>
      <c r="AD123" s="36" t="s">
        <v>409</v>
      </c>
      <c r="AE123" s="259"/>
      <c r="AF123" s="260"/>
      <c r="AG123" s="260"/>
      <c r="AH123" s="260"/>
      <c r="AI123" s="260"/>
      <c r="AJ123" s="258"/>
    </row>
    <row r="124" spans="1:36" s="1" customFormat="1" ht="26.4" x14ac:dyDescent="0.25">
      <c r="A124" s="73">
        <f>M124</f>
        <v>323000</v>
      </c>
      <c r="B124" s="31" t="s">
        <v>115</v>
      </c>
      <c r="C124" s="31" t="s">
        <v>0</v>
      </c>
      <c r="D124" s="31" t="s">
        <v>74</v>
      </c>
      <c r="E124" s="31"/>
      <c r="F124" s="31"/>
      <c r="G124" s="31"/>
      <c r="H124" s="32">
        <v>323000</v>
      </c>
      <c r="I124" s="32">
        <v>0</v>
      </c>
      <c r="J124" s="32">
        <f t="shared" si="37"/>
        <v>323000</v>
      </c>
      <c r="K124" s="32"/>
      <c r="L124" s="32">
        <f t="shared" si="38"/>
        <v>323000</v>
      </c>
      <c r="M124" s="32">
        <f>323000</f>
        <v>323000</v>
      </c>
      <c r="N124" s="32">
        <v>0</v>
      </c>
      <c r="O124" s="32"/>
      <c r="P124" s="32">
        <f t="shared" si="36"/>
        <v>323000</v>
      </c>
      <c r="Q124" s="32"/>
      <c r="R124" s="32">
        <f t="shared" si="39"/>
        <v>323000</v>
      </c>
      <c r="S124" s="32"/>
      <c r="T124" s="32"/>
      <c r="U124" s="32"/>
      <c r="V124" s="32"/>
      <c r="W124" s="32"/>
      <c r="X124" s="32"/>
      <c r="Y124" s="32"/>
      <c r="Z124" s="32"/>
      <c r="AA124" s="32"/>
      <c r="AB124" s="32"/>
      <c r="AC124" s="32"/>
      <c r="AD124" s="36"/>
      <c r="AE124" s="259"/>
      <c r="AF124" s="260"/>
      <c r="AG124" s="260"/>
      <c r="AH124" s="260"/>
      <c r="AI124" s="260"/>
      <c r="AJ124" s="258"/>
    </row>
    <row r="125" spans="1:36" s="1" customFormat="1" ht="26.4" x14ac:dyDescent="0.25">
      <c r="A125" s="73"/>
      <c r="B125" s="31" t="s">
        <v>534</v>
      </c>
      <c r="C125" s="31" t="s">
        <v>0</v>
      </c>
      <c r="D125" s="31" t="s">
        <v>333</v>
      </c>
      <c r="E125" s="31"/>
      <c r="F125" s="31"/>
      <c r="G125" s="31"/>
      <c r="H125" s="32"/>
      <c r="I125" s="32">
        <v>600000</v>
      </c>
      <c r="J125" s="32">
        <f t="shared" si="37"/>
        <v>600000</v>
      </c>
      <c r="K125" s="32"/>
      <c r="L125" s="32">
        <f t="shared" si="38"/>
        <v>600000</v>
      </c>
      <c r="M125" s="32"/>
      <c r="N125" s="32">
        <v>600000</v>
      </c>
      <c r="O125" s="32"/>
      <c r="P125" s="32">
        <f t="shared" si="36"/>
        <v>600000</v>
      </c>
      <c r="Q125" s="32"/>
      <c r="R125" s="32">
        <f t="shared" si="39"/>
        <v>600000</v>
      </c>
      <c r="S125" s="32"/>
      <c r="T125" s="32"/>
      <c r="U125" s="32"/>
      <c r="V125" s="32"/>
      <c r="W125" s="32"/>
      <c r="X125" s="32"/>
      <c r="Y125" s="32"/>
      <c r="Z125" s="32"/>
      <c r="AA125" s="32"/>
      <c r="AB125" s="32"/>
      <c r="AC125" s="32"/>
      <c r="AD125" s="36"/>
      <c r="AE125" s="259"/>
      <c r="AF125" s="260"/>
      <c r="AG125" s="260"/>
      <c r="AH125" s="260"/>
      <c r="AI125" s="260"/>
      <c r="AJ125" s="258"/>
    </row>
    <row r="126" spans="1:36" s="1" customFormat="1" ht="40.799999999999997" x14ac:dyDescent="0.25">
      <c r="B126" s="66" t="s">
        <v>116</v>
      </c>
      <c r="C126" s="66" t="s">
        <v>0</v>
      </c>
      <c r="D126" s="66" t="s">
        <v>74</v>
      </c>
      <c r="E126" s="66"/>
      <c r="F126" s="66"/>
      <c r="G126" s="66"/>
      <c r="H126" s="67">
        <f>250000</f>
        <v>250000</v>
      </c>
      <c r="I126" s="67">
        <v>0</v>
      </c>
      <c r="J126" s="67">
        <f t="shared" si="37"/>
        <v>250000</v>
      </c>
      <c r="K126" s="67"/>
      <c r="L126" s="67">
        <f t="shared" si="38"/>
        <v>250000</v>
      </c>
      <c r="M126" s="67">
        <v>250000</v>
      </c>
      <c r="N126" s="67">
        <v>0</v>
      </c>
      <c r="O126" s="67">
        <v>87600</v>
      </c>
      <c r="P126" s="67">
        <f t="shared" si="36"/>
        <v>337600</v>
      </c>
      <c r="Q126" s="67"/>
      <c r="R126" s="67">
        <f t="shared" si="39"/>
        <v>337600</v>
      </c>
      <c r="S126" s="67">
        <v>250000</v>
      </c>
      <c r="T126" s="67">
        <v>250000</v>
      </c>
      <c r="U126" s="67">
        <v>300000</v>
      </c>
      <c r="V126" s="67">
        <v>350000</v>
      </c>
      <c r="W126" s="67"/>
      <c r="X126" s="67"/>
      <c r="Y126" s="67"/>
      <c r="Z126" s="67"/>
      <c r="AA126" s="67"/>
      <c r="AB126" s="67"/>
      <c r="AC126" s="67"/>
      <c r="AD126" s="36" t="s">
        <v>410</v>
      </c>
      <c r="AE126" s="259"/>
      <c r="AF126" s="260"/>
      <c r="AG126" s="260"/>
      <c r="AH126" s="260"/>
      <c r="AI126" s="260"/>
      <c r="AJ126" s="258"/>
    </row>
    <row r="127" spans="1:36" s="1" customFormat="1" x14ac:dyDescent="0.25">
      <c r="B127" s="45" t="s">
        <v>581</v>
      </c>
      <c r="C127" s="45" t="s">
        <v>3</v>
      </c>
      <c r="D127" s="45"/>
      <c r="E127" s="45"/>
      <c r="F127" s="45"/>
      <c r="G127" s="45"/>
      <c r="H127" s="46">
        <f>SUM(H128:H130,H135:H146)</f>
        <v>27214000</v>
      </c>
      <c r="I127" s="46">
        <f>SUM(I128:I130,I135:I146)</f>
        <v>3335500</v>
      </c>
      <c r="J127" s="46">
        <f t="shared" si="37"/>
        <v>30549500</v>
      </c>
      <c r="K127" s="46">
        <f>SUM(K128:K130,K135:K146)</f>
        <v>1500000</v>
      </c>
      <c r="L127" s="46">
        <f t="shared" si="38"/>
        <v>32049500</v>
      </c>
      <c r="M127" s="46">
        <f>SUM(M128:M130,M135:M146)</f>
        <v>9639000</v>
      </c>
      <c r="N127" s="46">
        <f>SUM(N128:N130,N135:N146)</f>
        <v>55500</v>
      </c>
      <c r="O127" s="46">
        <f>SUM(O128:O130,O135:O146)</f>
        <v>3213931</v>
      </c>
      <c r="P127" s="46">
        <f t="shared" si="36"/>
        <v>12908431</v>
      </c>
      <c r="Q127" s="46"/>
      <c r="R127" s="46">
        <f t="shared" si="39"/>
        <v>12908431</v>
      </c>
      <c r="S127" s="46">
        <f t="shared" ref="S127:V127" si="57">SUM(S128:S130,S135:S146)</f>
        <v>10146260</v>
      </c>
      <c r="T127" s="46">
        <f t="shared" si="57"/>
        <v>4289101</v>
      </c>
      <c r="U127" s="46">
        <f t="shared" si="57"/>
        <v>850000</v>
      </c>
      <c r="V127" s="46">
        <f t="shared" si="57"/>
        <v>300000</v>
      </c>
      <c r="W127" s="46">
        <f t="shared" ref="W127" si="58">SUM(W128:W130,W135:W146)</f>
        <v>500000</v>
      </c>
      <c r="X127" s="46">
        <f t="shared" ref="X127" si="59">SUM(X128:X130,X135:X146)</f>
        <v>11850000</v>
      </c>
      <c r="Y127" s="46">
        <f t="shared" ref="Y127" si="60">SUM(Y128:Y130,Y135:Y146)</f>
        <v>0</v>
      </c>
      <c r="Z127" s="46">
        <f t="shared" ref="Z127" si="61">SUM(Z128:Z130,Z135:Z146)</f>
        <v>100000</v>
      </c>
      <c r="AA127" s="46"/>
      <c r="AB127" s="46"/>
      <c r="AC127" s="46"/>
      <c r="AD127" s="147"/>
      <c r="AE127" s="259"/>
      <c r="AF127" s="260"/>
      <c r="AG127" s="260"/>
      <c r="AH127" s="260"/>
      <c r="AI127" s="260"/>
      <c r="AJ127" s="258"/>
    </row>
    <row r="128" spans="1:36" s="1" customFormat="1" x14ac:dyDescent="0.25">
      <c r="B128" s="31" t="s">
        <v>117</v>
      </c>
      <c r="C128" s="31" t="s">
        <v>0</v>
      </c>
      <c r="D128" s="31" t="s">
        <v>37</v>
      </c>
      <c r="E128" s="31"/>
      <c r="F128" s="166" t="s">
        <v>288</v>
      </c>
      <c r="G128" s="167">
        <v>2023</v>
      </c>
      <c r="H128" s="32">
        <v>10075000</v>
      </c>
      <c r="I128" s="32">
        <v>3100000</v>
      </c>
      <c r="J128" s="32">
        <f t="shared" si="37"/>
        <v>13175000</v>
      </c>
      <c r="K128" s="168">
        <v>1500000</v>
      </c>
      <c r="L128" s="32">
        <f t="shared" si="38"/>
        <v>14675000</v>
      </c>
      <c r="M128" s="32">
        <v>5000000</v>
      </c>
      <c r="N128" s="32">
        <v>0</v>
      </c>
      <c r="O128" s="32">
        <v>2500000</v>
      </c>
      <c r="P128" s="32">
        <f t="shared" si="36"/>
        <v>7500000</v>
      </c>
      <c r="Q128" s="32"/>
      <c r="R128" s="32">
        <f t="shared" si="39"/>
        <v>7500000</v>
      </c>
      <c r="S128" s="168">
        <v>3846260</v>
      </c>
      <c r="T128" s="32"/>
      <c r="U128" s="32"/>
      <c r="V128" s="32"/>
      <c r="W128" s="32"/>
      <c r="X128" s="32"/>
      <c r="Y128" s="32"/>
      <c r="Z128" s="32"/>
      <c r="AA128" s="32"/>
      <c r="AB128" s="32"/>
      <c r="AC128" s="32"/>
      <c r="AD128" s="36"/>
      <c r="AE128" s="259"/>
      <c r="AF128" s="260"/>
      <c r="AG128" s="260"/>
      <c r="AH128" s="260"/>
      <c r="AI128" s="260"/>
      <c r="AJ128" s="258"/>
    </row>
    <row r="129" spans="1:36" s="1" customFormat="1" ht="224.4" x14ac:dyDescent="0.25">
      <c r="B129" s="54" t="s">
        <v>118</v>
      </c>
      <c r="C129" s="54" t="s">
        <v>0</v>
      </c>
      <c r="D129" s="54" t="s">
        <v>74</v>
      </c>
      <c r="E129" s="54"/>
      <c r="F129" s="54"/>
      <c r="G129" s="54"/>
      <c r="H129" s="55">
        <v>12000000</v>
      </c>
      <c r="I129" s="55">
        <v>0</v>
      </c>
      <c r="J129" s="55">
        <f t="shared" si="37"/>
        <v>12000000</v>
      </c>
      <c r="K129" s="55"/>
      <c r="L129" s="55">
        <f t="shared" si="38"/>
        <v>12000000</v>
      </c>
      <c r="M129" s="55">
        <f>3000000-1000000</f>
        <v>2000000</v>
      </c>
      <c r="N129" s="55">
        <v>0</v>
      </c>
      <c r="O129" s="55">
        <v>537875</v>
      </c>
      <c r="P129" s="55">
        <f t="shared" si="36"/>
        <v>2537875</v>
      </c>
      <c r="Q129" s="55"/>
      <c r="R129" s="55">
        <f t="shared" si="39"/>
        <v>2537875</v>
      </c>
      <c r="S129" s="55">
        <v>5000000</v>
      </c>
      <c r="T129" s="55">
        <v>3439101</v>
      </c>
      <c r="U129" s="55"/>
      <c r="V129" s="55"/>
      <c r="W129" s="55">
        <v>500000</v>
      </c>
      <c r="X129" s="55">
        <v>11400000</v>
      </c>
      <c r="Y129" s="55"/>
      <c r="Z129" s="55">
        <v>100000</v>
      </c>
      <c r="AA129" s="55"/>
      <c r="AB129" s="55"/>
      <c r="AC129" s="55"/>
      <c r="AD129" s="36" t="s">
        <v>505</v>
      </c>
      <c r="AE129" s="259"/>
      <c r="AF129" s="260"/>
      <c r="AG129" s="260"/>
      <c r="AH129" s="260"/>
      <c r="AI129" s="260"/>
      <c r="AJ129" s="258"/>
    </row>
    <row r="130" spans="1:36" s="1" customFormat="1" x14ac:dyDescent="0.25">
      <c r="B130" s="31" t="s">
        <v>119</v>
      </c>
      <c r="C130" s="31" t="s">
        <v>0</v>
      </c>
      <c r="D130" s="31" t="s">
        <v>74</v>
      </c>
      <c r="E130" s="31"/>
      <c r="F130" s="31"/>
      <c r="G130" s="31"/>
      <c r="H130" s="32">
        <f>SUM(H131:H134)</f>
        <v>800000</v>
      </c>
      <c r="I130" s="32">
        <f>SUM(I131:I134)</f>
        <v>0</v>
      </c>
      <c r="J130" s="32">
        <f t="shared" si="37"/>
        <v>800000</v>
      </c>
      <c r="K130" s="32"/>
      <c r="L130" s="32">
        <f t="shared" si="38"/>
        <v>800000</v>
      </c>
      <c r="M130" s="32">
        <f>SUM(M131:M134)</f>
        <v>450000</v>
      </c>
      <c r="N130" s="32">
        <f>SUM(N131:N134)</f>
        <v>0</v>
      </c>
      <c r="O130" s="32">
        <f>SUM(O131:O134)</f>
        <v>12620</v>
      </c>
      <c r="P130" s="32">
        <f t="shared" si="36"/>
        <v>462620</v>
      </c>
      <c r="Q130" s="32"/>
      <c r="R130" s="32">
        <f t="shared" si="39"/>
        <v>462620</v>
      </c>
      <c r="S130" s="32"/>
      <c r="T130" s="32"/>
      <c r="U130" s="32"/>
      <c r="V130" s="32"/>
      <c r="W130" s="32"/>
      <c r="X130" s="32"/>
      <c r="Y130" s="32"/>
      <c r="Z130" s="32"/>
      <c r="AA130" s="32"/>
      <c r="AB130" s="32"/>
      <c r="AC130" s="32"/>
      <c r="AD130" s="36"/>
      <c r="AE130" s="259"/>
      <c r="AF130" s="260"/>
      <c r="AG130" s="260"/>
      <c r="AH130" s="260"/>
      <c r="AI130" s="260"/>
      <c r="AJ130" s="258"/>
    </row>
    <row r="131" spans="1:36" ht="20.399999999999999" x14ac:dyDescent="0.25">
      <c r="A131" s="73"/>
      <c r="B131" s="34" t="s">
        <v>120</v>
      </c>
      <c r="C131" s="35"/>
      <c r="D131" s="35"/>
      <c r="E131" s="35"/>
      <c r="F131" s="35"/>
      <c r="G131" s="35"/>
      <c r="H131" s="36">
        <v>550000</v>
      </c>
      <c r="I131" s="36">
        <v>83280</v>
      </c>
      <c r="J131" s="36">
        <f t="shared" si="37"/>
        <v>633280</v>
      </c>
      <c r="K131" s="36"/>
      <c r="L131" s="36">
        <f t="shared" si="38"/>
        <v>633280</v>
      </c>
      <c r="M131" s="36">
        <v>200000</v>
      </c>
      <c r="N131" s="36">
        <v>83280</v>
      </c>
      <c r="O131" s="36">
        <v>12620</v>
      </c>
      <c r="P131" s="36">
        <f t="shared" si="36"/>
        <v>295900</v>
      </c>
      <c r="Q131" s="36"/>
      <c r="R131" s="36">
        <f t="shared" si="39"/>
        <v>295900</v>
      </c>
      <c r="S131" s="36"/>
      <c r="T131" s="36"/>
      <c r="U131" s="36"/>
      <c r="V131" s="36"/>
      <c r="W131" s="36"/>
      <c r="X131" s="36"/>
      <c r="Y131" s="36"/>
      <c r="Z131" s="36"/>
      <c r="AA131" s="36"/>
      <c r="AB131" s="36"/>
      <c r="AC131" s="36"/>
      <c r="AD131" s="36"/>
      <c r="AE131" s="259"/>
      <c r="AF131" s="257"/>
      <c r="AG131" s="257"/>
      <c r="AH131" s="257"/>
      <c r="AI131" s="257"/>
      <c r="AJ131" s="258"/>
    </row>
    <row r="132" spans="1:36" s="37" customFormat="1" ht="20.399999999999999" x14ac:dyDescent="0.25">
      <c r="B132" s="34" t="s">
        <v>121</v>
      </c>
      <c r="C132" s="35"/>
      <c r="D132" s="35"/>
      <c r="E132" s="35"/>
      <c r="F132" s="35"/>
      <c r="G132" s="35"/>
      <c r="H132" s="36">
        <v>150000</v>
      </c>
      <c r="I132" s="36">
        <v>-83280</v>
      </c>
      <c r="J132" s="36">
        <f t="shared" si="37"/>
        <v>66720</v>
      </c>
      <c r="K132" s="36"/>
      <c r="L132" s="36">
        <f t="shared" si="38"/>
        <v>66720</v>
      </c>
      <c r="M132" s="36">
        <v>150000</v>
      </c>
      <c r="N132" s="36">
        <v>-83280</v>
      </c>
      <c r="O132" s="36"/>
      <c r="P132" s="36">
        <f t="shared" si="36"/>
        <v>66720</v>
      </c>
      <c r="Q132" s="36"/>
      <c r="R132" s="36">
        <f t="shared" si="39"/>
        <v>66720</v>
      </c>
      <c r="S132" s="36"/>
      <c r="T132" s="36"/>
      <c r="U132" s="36"/>
      <c r="V132" s="36"/>
      <c r="W132" s="36"/>
      <c r="X132" s="36"/>
      <c r="Y132" s="36"/>
      <c r="Z132" s="36"/>
      <c r="AA132" s="36"/>
      <c r="AB132" s="36"/>
      <c r="AC132" s="36"/>
      <c r="AD132" s="36"/>
      <c r="AE132" s="259"/>
      <c r="AF132" s="261"/>
      <c r="AG132" s="261"/>
      <c r="AH132" s="261"/>
      <c r="AI132" s="261"/>
      <c r="AJ132" s="258"/>
    </row>
    <row r="133" spans="1:36" s="37" customFormat="1" ht="20.399999999999999" x14ac:dyDescent="0.25">
      <c r="B133" s="34" t="s">
        <v>122</v>
      </c>
      <c r="C133" s="35"/>
      <c r="D133" s="35"/>
      <c r="E133" s="35"/>
      <c r="F133" s="35"/>
      <c r="G133" s="35"/>
      <c r="H133" s="36">
        <v>20000</v>
      </c>
      <c r="I133" s="36">
        <v>0</v>
      </c>
      <c r="J133" s="36">
        <f t="shared" si="37"/>
        <v>20000</v>
      </c>
      <c r="K133" s="36"/>
      <c r="L133" s="36">
        <f t="shared" si="38"/>
        <v>20000</v>
      </c>
      <c r="M133" s="36">
        <v>20000</v>
      </c>
      <c r="N133" s="36">
        <v>0</v>
      </c>
      <c r="O133" s="36"/>
      <c r="P133" s="36">
        <f t="shared" si="36"/>
        <v>20000</v>
      </c>
      <c r="Q133" s="36"/>
      <c r="R133" s="36">
        <f t="shared" si="39"/>
        <v>20000</v>
      </c>
      <c r="S133" s="36"/>
      <c r="T133" s="36"/>
      <c r="U133" s="36"/>
      <c r="V133" s="36"/>
      <c r="W133" s="36"/>
      <c r="X133" s="36"/>
      <c r="Y133" s="36"/>
      <c r="Z133" s="36"/>
      <c r="AA133" s="36"/>
      <c r="AB133" s="36"/>
      <c r="AC133" s="36"/>
      <c r="AD133" s="36"/>
      <c r="AE133" s="259"/>
      <c r="AF133" s="261"/>
      <c r="AG133" s="261"/>
      <c r="AH133" s="261"/>
      <c r="AI133" s="261"/>
      <c r="AJ133" s="258"/>
    </row>
    <row r="134" spans="1:36" s="37" customFormat="1" ht="20.399999999999999" x14ac:dyDescent="0.25">
      <c r="B134" s="34" t="s">
        <v>123</v>
      </c>
      <c r="C134" s="35"/>
      <c r="D134" s="35"/>
      <c r="E134" s="35"/>
      <c r="F134" s="35"/>
      <c r="G134" s="35"/>
      <c r="H134" s="36">
        <v>80000</v>
      </c>
      <c r="I134" s="36">
        <v>0</v>
      </c>
      <c r="J134" s="36">
        <f t="shared" si="37"/>
        <v>80000</v>
      </c>
      <c r="K134" s="36"/>
      <c r="L134" s="36">
        <f t="shared" si="38"/>
        <v>80000</v>
      </c>
      <c r="M134" s="36">
        <v>80000</v>
      </c>
      <c r="N134" s="36">
        <v>0</v>
      </c>
      <c r="O134" s="36"/>
      <c r="P134" s="36">
        <f t="shared" ref="P134:P197" si="62">M134+N134+O134</f>
        <v>80000</v>
      </c>
      <c r="Q134" s="36"/>
      <c r="R134" s="36">
        <f t="shared" si="39"/>
        <v>80000</v>
      </c>
      <c r="S134" s="36"/>
      <c r="T134" s="36"/>
      <c r="U134" s="36"/>
      <c r="V134" s="36"/>
      <c r="W134" s="36"/>
      <c r="X134" s="36"/>
      <c r="Y134" s="36"/>
      <c r="Z134" s="36"/>
      <c r="AA134" s="36"/>
      <c r="AB134" s="36"/>
      <c r="AC134" s="36"/>
      <c r="AD134" s="36"/>
      <c r="AE134" s="259"/>
      <c r="AF134" s="261"/>
      <c r="AG134" s="261"/>
      <c r="AH134" s="261"/>
      <c r="AI134" s="261"/>
      <c r="AJ134" s="258"/>
    </row>
    <row r="135" spans="1:36" ht="26.4" x14ac:dyDescent="0.25">
      <c r="B135" s="68" t="s">
        <v>124</v>
      </c>
      <c r="C135" s="69" t="s">
        <v>0</v>
      </c>
      <c r="D135" s="69" t="s">
        <v>74</v>
      </c>
      <c r="E135" s="69"/>
      <c r="F135" s="69"/>
      <c r="G135" s="69"/>
      <c r="H135" s="70">
        <f>M135</f>
        <v>245000</v>
      </c>
      <c r="I135" s="70">
        <v>0</v>
      </c>
      <c r="J135" s="70">
        <f t="shared" si="37"/>
        <v>245000</v>
      </c>
      <c r="K135" s="70"/>
      <c r="L135" s="70">
        <f t="shared" si="38"/>
        <v>245000</v>
      </c>
      <c r="M135" s="70">
        <v>245000</v>
      </c>
      <c r="N135" s="70">
        <v>0</v>
      </c>
      <c r="O135" s="70"/>
      <c r="P135" s="70">
        <f t="shared" si="62"/>
        <v>245000</v>
      </c>
      <c r="Q135" s="70"/>
      <c r="R135" s="70">
        <f t="shared" ref="R135:R198" si="63">P135+Q135</f>
        <v>245000</v>
      </c>
      <c r="S135" s="70"/>
      <c r="T135" s="70"/>
      <c r="U135" s="70"/>
      <c r="V135" s="70"/>
      <c r="W135" s="70"/>
      <c r="X135" s="70"/>
      <c r="Y135" s="70"/>
      <c r="Z135" s="70"/>
      <c r="AA135" s="70"/>
      <c r="AB135" s="70"/>
      <c r="AC135" s="70"/>
      <c r="AD135" s="105"/>
      <c r="AE135" s="259"/>
      <c r="AF135" s="257"/>
      <c r="AG135" s="257"/>
      <c r="AH135" s="257"/>
      <c r="AI135" s="257"/>
      <c r="AJ135" s="258"/>
    </row>
    <row r="136" spans="1:36" ht="71.400000000000006" x14ac:dyDescent="0.25">
      <c r="A136" s="73"/>
      <c r="B136" s="31" t="s">
        <v>125</v>
      </c>
      <c r="C136" s="31" t="s">
        <v>0</v>
      </c>
      <c r="D136" s="31" t="s">
        <v>74</v>
      </c>
      <c r="E136" s="31"/>
      <c r="F136" s="31"/>
      <c r="G136" s="31"/>
      <c r="H136" s="32">
        <v>1000000</v>
      </c>
      <c r="I136" s="32">
        <v>0</v>
      </c>
      <c r="J136" s="32">
        <f t="shared" si="37"/>
        <v>1000000</v>
      </c>
      <c r="K136" s="32"/>
      <c r="L136" s="32">
        <f t="shared" si="38"/>
        <v>1000000</v>
      </c>
      <c r="M136" s="32">
        <v>550000</v>
      </c>
      <c r="N136" s="32">
        <v>0</v>
      </c>
      <c r="O136" s="32"/>
      <c r="P136" s="32">
        <f t="shared" si="62"/>
        <v>550000</v>
      </c>
      <c r="Q136" s="32"/>
      <c r="R136" s="32">
        <f t="shared" si="63"/>
        <v>550000</v>
      </c>
      <c r="S136" s="32">
        <v>450000</v>
      </c>
      <c r="T136" s="32"/>
      <c r="U136" s="32"/>
      <c r="V136" s="32"/>
      <c r="W136" s="32"/>
      <c r="X136" s="32">
        <v>450000</v>
      </c>
      <c r="Y136" s="32"/>
      <c r="Z136" s="32"/>
      <c r="AA136" s="32"/>
      <c r="AB136" s="32"/>
      <c r="AC136" s="32"/>
      <c r="AD136" s="36" t="s">
        <v>411</v>
      </c>
      <c r="AE136" s="259"/>
      <c r="AF136" s="257"/>
      <c r="AG136" s="257"/>
      <c r="AH136" s="257"/>
      <c r="AI136" s="257"/>
      <c r="AJ136" s="258"/>
    </row>
    <row r="137" spans="1:36" ht="66" x14ac:dyDescent="0.25">
      <c r="A137" s="73"/>
      <c r="B137" s="66" t="s">
        <v>565</v>
      </c>
      <c r="C137" s="54" t="s">
        <v>0</v>
      </c>
      <c r="D137" s="54" t="s">
        <v>74</v>
      </c>
      <c r="E137" s="54"/>
      <c r="F137" s="54"/>
      <c r="G137" s="54"/>
      <c r="H137" s="55">
        <v>250000</v>
      </c>
      <c r="I137" s="55">
        <v>0</v>
      </c>
      <c r="J137" s="55">
        <f t="shared" si="37"/>
        <v>250000</v>
      </c>
      <c r="K137" s="55"/>
      <c r="L137" s="55">
        <f t="shared" si="38"/>
        <v>250000</v>
      </c>
      <c r="M137" s="55">
        <v>220000</v>
      </c>
      <c r="N137" s="55">
        <v>0</v>
      </c>
      <c r="O137" s="55">
        <v>20000</v>
      </c>
      <c r="P137" s="55">
        <f t="shared" si="62"/>
        <v>240000</v>
      </c>
      <c r="Q137" s="55"/>
      <c r="R137" s="55">
        <f t="shared" si="63"/>
        <v>240000</v>
      </c>
      <c r="S137" s="55"/>
      <c r="T137" s="55"/>
      <c r="U137" s="55"/>
      <c r="V137" s="55"/>
      <c r="W137" s="55"/>
      <c r="X137" s="55"/>
      <c r="Y137" s="55"/>
      <c r="Z137" s="55"/>
      <c r="AA137" s="55"/>
      <c r="AB137" s="55"/>
      <c r="AC137" s="55"/>
      <c r="AD137" s="36"/>
      <c r="AE137" s="259"/>
      <c r="AF137" s="257"/>
      <c r="AG137" s="257"/>
      <c r="AH137" s="257"/>
      <c r="AI137" s="257"/>
      <c r="AJ137" s="258"/>
    </row>
    <row r="138" spans="1:36" x14ac:dyDescent="0.25">
      <c r="A138" s="73"/>
      <c r="B138" s="31" t="s">
        <v>126</v>
      </c>
      <c r="C138" s="31" t="s">
        <v>0</v>
      </c>
      <c r="D138" s="31" t="s">
        <v>74</v>
      </c>
      <c r="E138" s="31"/>
      <c r="F138" s="31"/>
      <c r="G138" s="31"/>
      <c r="H138" s="32">
        <v>200000</v>
      </c>
      <c r="I138" s="32">
        <v>0</v>
      </c>
      <c r="J138" s="32">
        <f t="shared" si="37"/>
        <v>200000</v>
      </c>
      <c r="K138" s="32"/>
      <c r="L138" s="32">
        <f t="shared" si="38"/>
        <v>200000</v>
      </c>
      <c r="M138" s="32">
        <v>180000</v>
      </c>
      <c r="N138" s="32">
        <v>-180000</v>
      </c>
      <c r="O138" s="32">
        <v>20000</v>
      </c>
      <c r="P138" s="32">
        <f t="shared" si="62"/>
        <v>20000</v>
      </c>
      <c r="Q138" s="32"/>
      <c r="R138" s="32">
        <f t="shared" si="63"/>
        <v>20000</v>
      </c>
      <c r="S138" s="32"/>
      <c r="T138" s="32"/>
      <c r="U138" s="32"/>
      <c r="V138" s="32"/>
      <c r="W138" s="32"/>
      <c r="X138" s="32"/>
      <c r="Y138" s="32"/>
      <c r="Z138" s="32"/>
      <c r="AA138" s="32"/>
      <c r="AB138" s="32"/>
      <c r="AC138" s="32"/>
      <c r="AD138" s="36"/>
      <c r="AE138" s="259"/>
      <c r="AF138" s="257"/>
      <c r="AG138" s="257"/>
      <c r="AH138" s="257"/>
      <c r="AI138" s="257"/>
      <c r="AJ138" s="258"/>
    </row>
    <row r="139" spans="1:36" x14ac:dyDescent="0.25">
      <c r="A139" s="73"/>
      <c r="B139" s="54" t="s">
        <v>127</v>
      </c>
      <c r="C139" s="54" t="s">
        <v>0</v>
      </c>
      <c r="D139" s="54" t="s">
        <v>74</v>
      </c>
      <c r="E139" s="54"/>
      <c r="F139" s="54"/>
      <c r="G139" s="54"/>
      <c r="H139" s="55">
        <v>84000</v>
      </c>
      <c r="I139" s="55">
        <v>0</v>
      </c>
      <c r="J139" s="55">
        <f t="shared" ref="J139:J221" si="64">H139+I139</f>
        <v>84000</v>
      </c>
      <c r="K139" s="55"/>
      <c r="L139" s="55">
        <f t="shared" ref="L139:L221" si="65">J139+K139</f>
        <v>84000</v>
      </c>
      <c r="M139" s="55">
        <v>84000</v>
      </c>
      <c r="N139" s="55">
        <v>0</v>
      </c>
      <c r="O139" s="55"/>
      <c r="P139" s="55">
        <f t="shared" si="62"/>
        <v>84000</v>
      </c>
      <c r="Q139" s="55"/>
      <c r="R139" s="55">
        <f t="shared" si="63"/>
        <v>84000</v>
      </c>
      <c r="S139" s="55"/>
      <c r="T139" s="55"/>
      <c r="U139" s="55"/>
      <c r="V139" s="55"/>
      <c r="W139" s="55"/>
      <c r="X139" s="55"/>
      <c r="Y139" s="55"/>
      <c r="Z139" s="55"/>
      <c r="AA139" s="55"/>
      <c r="AB139" s="55"/>
      <c r="AC139" s="55"/>
      <c r="AD139" s="36"/>
      <c r="AE139" s="259"/>
      <c r="AF139" s="257"/>
      <c r="AG139" s="257"/>
      <c r="AH139" s="257"/>
      <c r="AI139" s="257"/>
      <c r="AJ139" s="258"/>
    </row>
    <row r="140" spans="1:36" x14ac:dyDescent="0.25">
      <c r="A140" s="73"/>
      <c r="B140" s="211" t="s">
        <v>538</v>
      </c>
      <c r="C140" s="211" t="s">
        <v>0</v>
      </c>
      <c r="D140" s="211" t="s">
        <v>234</v>
      </c>
      <c r="E140" s="54"/>
      <c r="F140" s="54"/>
      <c r="G140" s="54"/>
      <c r="H140" s="55"/>
      <c r="I140" s="55">
        <v>32300</v>
      </c>
      <c r="J140" s="55"/>
      <c r="K140" s="55"/>
      <c r="L140" s="55"/>
      <c r="M140" s="55"/>
      <c r="N140" s="55">
        <v>32300</v>
      </c>
      <c r="O140" s="32">
        <v>5356</v>
      </c>
      <c r="P140" s="55">
        <f t="shared" si="62"/>
        <v>37656</v>
      </c>
      <c r="Q140" s="55"/>
      <c r="R140" s="55">
        <f t="shared" si="63"/>
        <v>37656</v>
      </c>
      <c r="S140" s="55"/>
      <c r="T140" s="55"/>
      <c r="U140" s="55"/>
      <c r="V140" s="55"/>
      <c r="W140" s="55"/>
      <c r="X140" s="55"/>
      <c r="Y140" s="55"/>
      <c r="Z140" s="55"/>
      <c r="AA140" s="55"/>
      <c r="AB140" s="55"/>
      <c r="AC140" s="55"/>
      <c r="AD140" s="36"/>
      <c r="AE140" s="259"/>
      <c r="AF140" s="257"/>
      <c r="AG140" s="257"/>
      <c r="AH140" s="257"/>
      <c r="AI140" s="257"/>
      <c r="AJ140" s="258"/>
    </row>
    <row r="141" spans="1:36" x14ac:dyDescent="0.25">
      <c r="A141" s="73"/>
      <c r="B141" s="210" t="s">
        <v>535</v>
      </c>
      <c r="C141" s="211" t="s">
        <v>0</v>
      </c>
      <c r="D141" s="210" t="s">
        <v>314</v>
      </c>
      <c r="E141" s="54"/>
      <c r="F141" s="54"/>
      <c r="G141" s="54"/>
      <c r="H141" s="55"/>
      <c r="I141" s="55">
        <v>85000</v>
      </c>
      <c r="J141" s="55"/>
      <c r="K141" s="55"/>
      <c r="L141" s="55"/>
      <c r="M141" s="55"/>
      <c r="N141" s="55">
        <v>85000</v>
      </c>
      <c r="O141" s="55"/>
      <c r="P141" s="55">
        <f t="shared" si="62"/>
        <v>85000</v>
      </c>
      <c r="Q141" s="55"/>
      <c r="R141" s="55">
        <f t="shared" si="63"/>
        <v>85000</v>
      </c>
      <c r="S141" s="55"/>
      <c r="T141" s="55"/>
      <c r="U141" s="55"/>
      <c r="V141" s="55"/>
      <c r="W141" s="55"/>
      <c r="X141" s="55"/>
      <c r="Y141" s="55"/>
      <c r="Z141" s="55"/>
      <c r="AA141" s="55"/>
      <c r="AB141" s="55"/>
      <c r="AC141" s="55"/>
      <c r="AD141" s="36"/>
      <c r="AE141" s="259"/>
      <c r="AF141" s="257"/>
      <c r="AG141" s="257"/>
      <c r="AH141" s="257"/>
      <c r="AI141" s="257"/>
      <c r="AJ141" s="258"/>
    </row>
    <row r="142" spans="1:36" ht="26.4" x14ac:dyDescent="0.25">
      <c r="A142" s="73"/>
      <c r="B142" s="210" t="s">
        <v>536</v>
      </c>
      <c r="C142" s="210" t="s">
        <v>0</v>
      </c>
      <c r="D142" s="210" t="s">
        <v>74</v>
      </c>
      <c r="E142" s="54"/>
      <c r="F142" s="54"/>
      <c r="G142" s="54"/>
      <c r="H142" s="55"/>
      <c r="I142" s="55">
        <v>80000</v>
      </c>
      <c r="J142" s="55"/>
      <c r="K142" s="55"/>
      <c r="L142" s="55"/>
      <c r="M142" s="55"/>
      <c r="N142" s="55">
        <v>80000</v>
      </c>
      <c r="O142" s="55"/>
      <c r="P142" s="55">
        <f t="shared" si="62"/>
        <v>80000</v>
      </c>
      <c r="Q142" s="55"/>
      <c r="R142" s="55">
        <f t="shared" si="63"/>
        <v>80000</v>
      </c>
      <c r="S142" s="55"/>
      <c r="T142" s="55"/>
      <c r="U142" s="55"/>
      <c r="V142" s="55"/>
      <c r="W142" s="55"/>
      <c r="X142" s="55"/>
      <c r="Y142" s="55"/>
      <c r="Z142" s="55"/>
      <c r="AA142" s="55"/>
      <c r="AB142" s="55"/>
      <c r="AC142" s="55"/>
      <c r="AD142" s="36"/>
      <c r="AE142" s="259"/>
      <c r="AF142" s="257"/>
      <c r="AG142" s="257"/>
      <c r="AH142" s="257"/>
      <c r="AI142" s="257"/>
      <c r="AJ142" s="258"/>
    </row>
    <row r="143" spans="1:36" ht="26.4" x14ac:dyDescent="0.25">
      <c r="A143" s="73"/>
      <c r="B143" s="210" t="s">
        <v>537</v>
      </c>
      <c r="C143" s="210" t="s">
        <v>0</v>
      </c>
      <c r="D143" s="210" t="s">
        <v>331</v>
      </c>
      <c r="E143" s="54"/>
      <c r="F143" s="54"/>
      <c r="G143" s="54"/>
      <c r="H143" s="55"/>
      <c r="I143" s="55">
        <v>38200</v>
      </c>
      <c r="J143" s="55"/>
      <c r="K143" s="55"/>
      <c r="L143" s="55"/>
      <c r="M143" s="55"/>
      <c r="N143" s="55">
        <v>38200</v>
      </c>
      <c r="O143" s="55"/>
      <c r="P143" s="55">
        <f t="shared" si="62"/>
        <v>38200</v>
      </c>
      <c r="Q143" s="55"/>
      <c r="R143" s="55">
        <f t="shared" si="63"/>
        <v>38200</v>
      </c>
      <c r="S143" s="55"/>
      <c r="T143" s="55"/>
      <c r="U143" s="55"/>
      <c r="V143" s="55"/>
      <c r="W143" s="55"/>
      <c r="X143" s="55"/>
      <c r="Y143" s="55"/>
      <c r="Z143" s="55"/>
      <c r="AA143" s="55"/>
      <c r="AB143" s="55"/>
      <c r="AC143" s="55"/>
      <c r="AD143" s="36"/>
      <c r="AE143" s="259"/>
      <c r="AF143" s="257"/>
      <c r="AG143" s="257"/>
      <c r="AH143" s="257"/>
      <c r="AI143" s="257"/>
      <c r="AJ143" s="258"/>
    </row>
    <row r="144" spans="1:36" ht="26.4" x14ac:dyDescent="0.25">
      <c r="B144" s="68" t="s">
        <v>128</v>
      </c>
      <c r="C144" s="69" t="s">
        <v>0</v>
      </c>
      <c r="D144" s="69" t="s">
        <v>74</v>
      </c>
      <c r="E144" s="69"/>
      <c r="F144" s="69"/>
      <c r="G144" s="69"/>
      <c r="H144" s="70">
        <f>M144</f>
        <v>60000</v>
      </c>
      <c r="I144" s="70">
        <v>0</v>
      </c>
      <c r="J144" s="70">
        <f t="shared" si="64"/>
        <v>60000</v>
      </c>
      <c r="K144" s="70"/>
      <c r="L144" s="70">
        <f t="shared" si="65"/>
        <v>60000</v>
      </c>
      <c r="M144" s="70">
        <v>60000</v>
      </c>
      <c r="N144" s="70">
        <v>0</v>
      </c>
      <c r="O144" s="70"/>
      <c r="P144" s="70">
        <f t="shared" si="62"/>
        <v>60000</v>
      </c>
      <c r="Q144" s="70"/>
      <c r="R144" s="70">
        <f t="shared" si="63"/>
        <v>60000</v>
      </c>
      <c r="S144" s="70"/>
      <c r="T144" s="70"/>
      <c r="U144" s="70"/>
      <c r="V144" s="70"/>
      <c r="W144" s="70"/>
      <c r="X144" s="70"/>
      <c r="Y144" s="70"/>
      <c r="Z144" s="70"/>
      <c r="AA144" s="70"/>
      <c r="AB144" s="70"/>
      <c r="AC144" s="70"/>
      <c r="AD144" s="105"/>
      <c r="AE144" s="259"/>
      <c r="AF144" s="257"/>
      <c r="AG144" s="257"/>
      <c r="AH144" s="257"/>
      <c r="AI144" s="257"/>
      <c r="AJ144" s="258"/>
    </row>
    <row r="145" spans="2:36" s="185" customFormat="1" ht="14.4" x14ac:dyDescent="0.3">
      <c r="B145" s="31" t="s">
        <v>129</v>
      </c>
      <c r="C145" s="31" t="s">
        <v>0</v>
      </c>
      <c r="D145" s="31" t="s">
        <v>74</v>
      </c>
      <c r="E145" s="31"/>
      <c r="F145" s="31"/>
      <c r="G145" s="31"/>
      <c r="H145" s="32">
        <f>4*550000</f>
        <v>2200000</v>
      </c>
      <c r="I145" s="32">
        <v>0</v>
      </c>
      <c r="J145" s="32">
        <f t="shared" si="64"/>
        <v>2200000</v>
      </c>
      <c r="K145" s="32"/>
      <c r="L145" s="32">
        <f t="shared" si="65"/>
        <v>2200000</v>
      </c>
      <c r="M145" s="32">
        <v>550000</v>
      </c>
      <c r="N145" s="32">
        <v>0</v>
      </c>
      <c r="O145" s="32">
        <v>101610</v>
      </c>
      <c r="P145" s="32">
        <f t="shared" si="62"/>
        <v>651610</v>
      </c>
      <c r="Q145" s="32"/>
      <c r="R145" s="32">
        <f t="shared" si="63"/>
        <v>651610</v>
      </c>
      <c r="S145" s="32">
        <v>550000</v>
      </c>
      <c r="T145" s="32">
        <v>550000</v>
      </c>
      <c r="U145" s="32">
        <v>550000</v>
      </c>
      <c r="V145" s="32"/>
      <c r="W145" s="32"/>
      <c r="X145" s="32"/>
      <c r="Y145" s="32"/>
      <c r="Z145" s="32"/>
      <c r="AA145" s="32"/>
      <c r="AB145" s="32"/>
      <c r="AC145" s="32"/>
      <c r="AD145" s="36"/>
      <c r="AE145" s="259"/>
      <c r="AF145" s="264"/>
      <c r="AG145" s="264"/>
      <c r="AH145" s="264"/>
      <c r="AI145" s="264"/>
      <c r="AJ145" s="258"/>
    </row>
    <row r="146" spans="2:36" s="1" customFormat="1" x14ac:dyDescent="0.25">
      <c r="B146" s="31" t="s">
        <v>130</v>
      </c>
      <c r="C146" s="31" t="s">
        <v>0</v>
      </c>
      <c r="D146" s="31" t="s">
        <v>74</v>
      </c>
      <c r="E146" s="31"/>
      <c r="F146" s="31"/>
      <c r="G146" s="31"/>
      <c r="H146" s="32">
        <f>300000</f>
        <v>300000</v>
      </c>
      <c r="I146" s="32">
        <v>0</v>
      </c>
      <c r="J146" s="32">
        <f t="shared" si="64"/>
        <v>300000</v>
      </c>
      <c r="K146" s="32"/>
      <c r="L146" s="32">
        <f t="shared" si="65"/>
        <v>300000</v>
      </c>
      <c r="M146" s="32">
        <v>300000</v>
      </c>
      <c r="N146" s="32">
        <v>0</v>
      </c>
      <c r="O146" s="32">
        <f>170926-156136+1680</f>
        <v>16470</v>
      </c>
      <c r="P146" s="32">
        <f t="shared" si="62"/>
        <v>316470</v>
      </c>
      <c r="Q146" s="32"/>
      <c r="R146" s="32">
        <f t="shared" si="63"/>
        <v>316470</v>
      </c>
      <c r="S146" s="32">
        <v>300000</v>
      </c>
      <c r="T146" s="32">
        <v>300000</v>
      </c>
      <c r="U146" s="32">
        <v>300000</v>
      </c>
      <c r="V146" s="32">
        <v>300000</v>
      </c>
      <c r="W146" s="32"/>
      <c r="X146" s="32"/>
      <c r="Y146" s="32"/>
      <c r="Z146" s="32"/>
      <c r="AA146" s="32"/>
      <c r="AB146" s="32"/>
      <c r="AC146" s="32"/>
      <c r="AD146" s="36"/>
      <c r="AE146" s="259"/>
      <c r="AF146" s="260"/>
      <c r="AG146" s="260"/>
      <c r="AH146" s="260"/>
      <c r="AI146" s="260"/>
      <c r="AJ146" s="258"/>
    </row>
    <row r="147" spans="2:36" s="1" customFormat="1" x14ac:dyDescent="0.25">
      <c r="B147" s="29" t="s">
        <v>131</v>
      </c>
      <c r="C147" s="29" t="s">
        <v>3</v>
      </c>
      <c r="D147" s="29"/>
      <c r="E147" s="29"/>
      <c r="F147" s="29"/>
      <c r="G147" s="29"/>
      <c r="H147" s="30">
        <f>SUM(H148:H153,H156:H160,H162:H165)</f>
        <v>37654500</v>
      </c>
      <c r="I147" s="30">
        <f>SUM(I148:I153,I156:I160,I162:I165)</f>
        <v>-128000</v>
      </c>
      <c r="J147" s="30">
        <f t="shared" si="64"/>
        <v>37526500</v>
      </c>
      <c r="K147" s="30">
        <f>SUM(K148:K160,K165:K165,K162:K162,K164)</f>
        <v>4774000</v>
      </c>
      <c r="L147" s="30">
        <f t="shared" si="65"/>
        <v>42300500</v>
      </c>
      <c r="M147" s="30">
        <f>SUM(M148:M153,M156:M160,M162:M165)</f>
        <v>10012700</v>
      </c>
      <c r="N147" s="30">
        <f t="shared" ref="N147:O147" si="66">SUM(N148:N153,N156:N160,N162:N165)</f>
        <v>-1949000</v>
      </c>
      <c r="O147" s="30">
        <f t="shared" si="66"/>
        <v>3785265</v>
      </c>
      <c r="P147" s="30">
        <f t="shared" si="62"/>
        <v>11848965</v>
      </c>
      <c r="Q147" s="30"/>
      <c r="R147" s="30">
        <f t="shared" si="63"/>
        <v>11848965</v>
      </c>
      <c r="S147" s="30">
        <f t="shared" ref="S147" si="67">SUM(S148:S153,S156:S160,S162:S165)</f>
        <v>15796630</v>
      </c>
      <c r="T147" s="30">
        <f t="shared" ref="T147" si="68">SUM(T148:T153,T156:T160,T162:T165)</f>
        <v>5618000</v>
      </c>
      <c r="U147" s="30">
        <f t="shared" ref="U147" si="69">SUM(U148:U153,U156:U160,U162:U165)</f>
        <v>500000</v>
      </c>
      <c r="V147" s="30">
        <f t="shared" ref="V147" si="70">SUM(V148:V153,V156:V160,V162:V165)</f>
        <v>500000</v>
      </c>
      <c r="W147" s="30">
        <f t="shared" ref="W147" si="71">SUM(W148:W153,W156:W160,W162:W165)</f>
        <v>1517520</v>
      </c>
      <c r="X147" s="30">
        <f t="shared" ref="X147" si="72">SUM(X148:X153,X156:X160,X162:X165)</f>
        <v>24451000</v>
      </c>
      <c r="Y147" s="30">
        <f t="shared" ref="Y147" si="73">SUM(Y148:Y153,Y156:Y160,Y162:Y165)</f>
        <v>1760000</v>
      </c>
      <c r="Z147" s="30">
        <f t="shared" ref="Z147" si="74">SUM(Z148:Z153,Z156:Z160,Z162:Z165)</f>
        <v>1328980</v>
      </c>
      <c r="AA147" s="30"/>
      <c r="AB147" s="30"/>
      <c r="AC147" s="30"/>
      <c r="AD147" s="147"/>
      <c r="AE147" s="259"/>
      <c r="AF147" s="260"/>
      <c r="AG147" s="260"/>
      <c r="AH147" s="260"/>
      <c r="AI147" s="260"/>
      <c r="AJ147" s="258"/>
    </row>
    <row r="148" spans="2:36" s="1" customFormat="1" ht="51" x14ac:dyDescent="0.25">
      <c r="B148" s="31" t="s">
        <v>132</v>
      </c>
      <c r="C148" s="31" t="s">
        <v>0</v>
      </c>
      <c r="D148" s="31" t="s">
        <v>37</v>
      </c>
      <c r="E148" s="31"/>
      <c r="F148" s="31" t="s">
        <v>331</v>
      </c>
      <c r="G148" s="124">
        <v>2023</v>
      </c>
      <c r="H148" s="32">
        <v>1040000</v>
      </c>
      <c r="I148" s="32">
        <v>160000</v>
      </c>
      <c r="J148" s="32">
        <f t="shared" si="64"/>
        <v>1200000</v>
      </c>
      <c r="K148" s="32"/>
      <c r="L148" s="32">
        <f t="shared" si="65"/>
        <v>1200000</v>
      </c>
      <c r="M148" s="32">
        <v>333200</v>
      </c>
      <c r="N148" s="32">
        <v>0</v>
      </c>
      <c r="O148" s="32">
        <v>504171</v>
      </c>
      <c r="P148" s="32">
        <f t="shared" si="62"/>
        <v>837371</v>
      </c>
      <c r="Q148" s="32"/>
      <c r="R148" s="32">
        <f t="shared" si="63"/>
        <v>837371</v>
      </c>
      <c r="S148" s="32">
        <v>306630</v>
      </c>
      <c r="T148" s="32"/>
      <c r="U148" s="32"/>
      <c r="V148" s="32"/>
      <c r="W148" s="32">
        <v>60000</v>
      </c>
      <c r="X148" s="32">
        <v>910000</v>
      </c>
      <c r="Y148" s="32">
        <v>80000</v>
      </c>
      <c r="Z148" s="32">
        <v>150000</v>
      </c>
      <c r="AA148" s="36" t="s">
        <v>412</v>
      </c>
      <c r="AB148" s="36" t="s">
        <v>308</v>
      </c>
      <c r="AC148" s="36" t="s">
        <v>413</v>
      </c>
      <c r="AD148" s="36" t="s">
        <v>506</v>
      </c>
      <c r="AE148" s="259"/>
      <c r="AF148" s="260"/>
      <c r="AG148" s="260"/>
      <c r="AH148" s="260"/>
      <c r="AI148" s="260"/>
      <c r="AJ148" s="258"/>
    </row>
    <row r="149" spans="2:36" s="1" customFormat="1" ht="61.2" x14ac:dyDescent="0.25">
      <c r="B149" s="54" t="s">
        <v>133</v>
      </c>
      <c r="C149" s="54" t="s">
        <v>0</v>
      </c>
      <c r="D149" s="54" t="s">
        <v>37</v>
      </c>
      <c r="E149" s="54"/>
      <c r="F149" s="54" t="s">
        <v>312</v>
      </c>
      <c r="G149" s="154">
        <v>2022</v>
      </c>
      <c r="H149" s="55">
        <v>627500</v>
      </c>
      <c r="I149" s="55">
        <v>190000</v>
      </c>
      <c r="J149" s="55">
        <f t="shared" si="64"/>
        <v>817500</v>
      </c>
      <c r="K149" s="55"/>
      <c r="L149" s="55">
        <f t="shared" si="65"/>
        <v>817500</v>
      </c>
      <c r="M149" s="55">
        <v>557500</v>
      </c>
      <c r="N149" s="55">
        <v>190000</v>
      </c>
      <c r="O149" s="55"/>
      <c r="P149" s="55">
        <f t="shared" si="62"/>
        <v>747500</v>
      </c>
      <c r="Q149" s="55"/>
      <c r="R149" s="55">
        <f t="shared" si="63"/>
        <v>747500</v>
      </c>
      <c r="S149" s="55"/>
      <c r="T149" s="55"/>
      <c r="U149" s="55"/>
      <c r="V149" s="55"/>
      <c r="W149" s="55">
        <v>65640</v>
      </c>
      <c r="X149" s="55">
        <v>691000</v>
      </c>
      <c r="Y149" s="55">
        <v>20000</v>
      </c>
      <c r="Z149" s="55">
        <v>40860</v>
      </c>
      <c r="AA149" s="58" t="s">
        <v>376</v>
      </c>
      <c r="AB149" s="58" t="s">
        <v>414</v>
      </c>
      <c r="AC149" s="58" t="s">
        <v>317</v>
      </c>
      <c r="AD149" s="36" t="s">
        <v>415</v>
      </c>
      <c r="AE149" s="259"/>
      <c r="AF149" s="260"/>
      <c r="AG149" s="260"/>
      <c r="AH149" s="260"/>
      <c r="AI149" s="260"/>
      <c r="AJ149" s="258"/>
    </row>
    <row r="150" spans="2:36" s="1" customFormat="1" ht="163.19999999999999" x14ac:dyDescent="0.25">
      <c r="B150" s="74" t="s">
        <v>134</v>
      </c>
      <c r="C150" s="74" t="s">
        <v>0</v>
      </c>
      <c r="D150" s="74" t="s">
        <v>37</v>
      </c>
      <c r="E150" s="74"/>
      <c r="F150" s="74" t="s">
        <v>416</v>
      </c>
      <c r="G150" s="169" t="s">
        <v>364</v>
      </c>
      <c r="H150" s="32">
        <v>5000000</v>
      </c>
      <c r="I150" s="32">
        <v>0</v>
      </c>
      <c r="J150" s="32">
        <f t="shared" si="64"/>
        <v>5000000</v>
      </c>
      <c r="K150" s="32">
        <v>750000</v>
      </c>
      <c r="L150" s="32">
        <f t="shared" si="65"/>
        <v>5750000</v>
      </c>
      <c r="M150" s="32">
        <v>300000</v>
      </c>
      <c r="N150" s="32">
        <v>0</v>
      </c>
      <c r="O150" s="32"/>
      <c r="P150" s="32">
        <f t="shared" si="62"/>
        <v>300000</v>
      </c>
      <c r="Q150" s="32"/>
      <c r="R150" s="32">
        <f t="shared" si="63"/>
        <v>300000</v>
      </c>
      <c r="S150" s="32">
        <v>3000000</v>
      </c>
      <c r="T150" s="32">
        <v>2450000</v>
      </c>
      <c r="U150" s="32"/>
      <c r="V150" s="32"/>
      <c r="W150" s="170">
        <v>360000</v>
      </c>
      <c r="X150" s="170">
        <v>5040000</v>
      </c>
      <c r="Y150" s="32">
        <v>200000</v>
      </c>
      <c r="Z150" s="32">
        <v>150000</v>
      </c>
      <c r="AA150" s="36" t="s">
        <v>320</v>
      </c>
      <c r="AB150" s="36" t="s">
        <v>417</v>
      </c>
      <c r="AC150" s="36" t="s">
        <v>335</v>
      </c>
      <c r="AD150" s="36" t="s">
        <v>507</v>
      </c>
      <c r="AE150" s="259"/>
      <c r="AF150" s="260"/>
      <c r="AG150" s="260"/>
      <c r="AH150" s="260"/>
      <c r="AI150" s="260"/>
      <c r="AJ150" s="258"/>
    </row>
    <row r="151" spans="2:36" s="1" customFormat="1" ht="102" x14ac:dyDescent="0.25">
      <c r="B151" s="31" t="s">
        <v>135</v>
      </c>
      <c r="C151" s="31" t="s">
        <v>0</v>
      </c>
      <c r="D151" s="31" t="s">
        <v>37</v>
      </c>
      <c r="E151" s="31"/>
      <c r="F151" s="31" t="s">
        <v>416</v>
      </c>
      <c r="G151" s="124">
        <v>2022</v>
      </c>
      <c r="H151" s="32">
        <v>2600000</v>
      </c>
      <c r="I151" s="32">
        <v>290000</v>
      </c>
      <c r="J151" s="32">
        <f t="shared" si="64"/>
        <v>2890000</v>
      </c>
      <c r="K151" s="32"/>
      <c r="L151" s="32">
        <f t="shared" si="65"/>
        <v>2890000</v>
      </c>
      <c r="M151" s="32">
        <v>1000000</v>
      </c>
      <c r="N151" s="32">
        <v>790000</v>
      </c>
      <c r="O151" s="32">
        <v>571014</v>
      </c>
      <c r="P151" s="32">
        <f t="shared" si="62"/>
        <v>2361014</v>
      </c>
      <c r="Q151" s="32"/>
      <c r="R151" s="32">
        <f t="shared" si="63"/>
        <v>2361014</v>
      </c>
      <c r="S151" s="32"/>
      <c r="T151" s="32"/>
      <c r="U151" s="32"/>
      <c r="V151" s="32"/>
      <c r="W151" s="32">
        <v>110000</v>
      </c>
      <c r="X151" s="32">
        <v>2110000</v>
      </c>
      <c r="Y151" s="32">
        <v>200000</v>
      </c>
      <c r="Z151" s="32">
        <v>180000</v>
      </c>
      <c r="AA151" s="36" t="s">
        <v>418</v>
      </c>
      <c r="AB151" s="36" t="s">
        <v>323</v>
      </c>
      <c r="AC151" s="36" t="s">
        <v>399</v>
      </c>
      <c r="AD151" s="44" t="s">
        <v>419</v>
      </c>
      <c r="AE151" s="259"/>
      <c r="AF151" s="260"/>
      <c r="AG151" s="260"/>
      <c r="AH151" s="260"/>
      <c r="AI151" s="260"/>
      <c r="AJ151" s="258"/>
    </row>
    <row r="152" spans="2:36" s="1" customFormat="1" ht="51" x14ac:dyDescent="0.25">
      <c r="B152" s="31" t="s">
        <v>136</v>
      </c>
      <c r="C152" s="31" t="s">
        <v>0</v>
      </c>
      <c r="D152" s="31" t="s">
        <v>37</v>
      </c>
      <c r="E152" s="31"/>
      <c r="F152" s="166" t="s">
        <v>416</v>
      </c>
      <c r="G152" s="167">
        <v>2022</v>
      </c>
      <c r="H152" s="32">
        <v>7700000</v>
      </c>
      <c r="I152" s="32">
        <v>0</v>
      </c>
      <c r="J152" s="32">
        <f t="shared" si="64"/>
        <v>7700000</v>
      </c>
      <c r="K152" s="168"/>
      <c r="L152" s="32">
        <f t="shared" si="65"/>
        <v>7700000</v>
      </c>
      <c r="M152" s="32">
        <v>1900000</v>
      </c>
      <c r="N152" s="168">
        <v>0</v>
      </c>
      <c r="O152" s="32">
        <v>2130799</v>
      </c>
      <c r="P152" s="32">
        <f t="shared" si="62"/>
        <v>4030799</v>
      </c>
      <c r="Q152" s="32"/>
      <c r="R152" s="32">
        <f t="shared" si="63"/>
        <v>4030799</v>
      </c>
      <c r="S152" s="168"/>
      <c r="T152" s="168"/>
      <c r="U152" s="168"/>
      <c r="V152" s="168"/>
      <c r="W152" s="168"/>
      <c r="X152" s="168"/>
      <c r="Y152" s="168"/>
      <c r="Z152" s="168"/>
      <c r="AA152" s="171" t="s">
        <v>376</v>
      </c>
      <c r="AB152" s="171" t="s">
        <v>420</v>
      </c>
      <c r="AC152" s="171" t="s">
        <v>399</v>
      </c>
      <c r="AD152" s="44" t="s">
        <v>421</v>
      </c>
      <c r="AE152" s="259"/>
      <c r="AF152" s="260"/>
      <c r="AG152" s="260"/>
      <c r="AH152" s="260"/>
      <c r="AI152" s="260"/>
      <c r="AJ152" s="258"/>
    </row>
    <row r="153" spans="2:36" s="1" customFormat="1" ht="71.400000000000006" x14ac:dyDescent="0.25">
      <c r="B153" s="31" t="s">
        <v>137</v>
      </c>
      <c r="C153" s="231" t="s">
        <v>3</v>
      </c>
      <c r="D153" s="31" t="s">
        <v>37</v>
      </c>
      <c r="E153" s="31"/>
      <c r="F153" s="166" t="s">
        <v>300</v>
      </c>
      <c r="G153" s="167">
        <v>2022</v>
      </c>
      <c r="H153" s="32">
        <f>H154+H155</f>
        <v>2952000</v>
      </c>
      <c r="I153" s="32">
        <v>0</v>
      </c>
      <c r="J153" s="32">
        <f t="shared" si="64"/>
        <v>2952000</v>
      </c>
      <c r="K153" s="168"/>
      <c r="L153" s="32">
        <f t="shared" si="65"/>
        <v>2952000</v>
      </c>
      <c r="M153" s="32">
        <f>M154+M155</f>
        <v>415000</v>
      </c>
      <c r="N153" s="32">
        <f>N154+N155</f>
        <v>197000</v>
      </c>
      <c r="O153" s="32">
        <f>SUM(O154:O155)</f>
        <v>280000</v>
      </c>
      <c r="P153" s="32">
        <f t="shared" si="62"/>
        <v>892000</v>
      </c>
      <c r="Q153" s="32"/>
      <c r="R153" s="32">
        <f t="shared" si="63"/>
        <v>892000</v>
      </c>
      <c r="S153" s="168"/>
      <c r="T153" s="168"/>
      <c r="U153" s="168"/>
      <c r="V153" s="168"/>
      <c r="W153" s="168"/>
      <c r="X153" s="168"/>
      <c r="Y153" s="168"/>
      <c r="Z153" s="168"/>
      <c r="AA153" s="171"/>
      <c r="AB153" s="171"/>
      <c r="AC153" s="171" t="s">
        <v>422</v>
      </c>
      <c r="AD153" s="44" t="s">
        <v>508</v>
      </c>
      <c r="AE153" s="259"/>
      <c r="AF153" s="260"/>
      <c r="AG153" s="260"/>
      <c r="AH153" s="260"/>
      <c r="AI153" s="260"/>
      <c r="AJ153" s="258"/>
    </row>
    <row r="154" spans="2:36" s="1" customFormat="1" x14ac:dyDescent="0.25">
      <c r="B154" s="31"/>
      <c r="C154" s="231" t="s">
        <v>0</v>
      </c>
      <c r="D154" s="31"/>
      <c r="E154" s="31"/>
      <c r="F154" s="166"/>
      <c r="G154" s="167"/>
      <c r="H154" s="32">
        <f>2500000+452000</f>
        <v>2952000</v>
      </c>
      <c r="I154" s="32"/>
      <c r="J154" s="32">
        <f t="shared" si="64"/>
        <v>2952000</v>
      </c>
      <c r="K154" s="168"/>
      <c r="L154" s="32">
        <f t="shared" si="65"/>
        <v>2952000</v>
      </c>
      <c r="M154" s="32">
        <v>415000</v>
      </c>
      <c r="N154" s="168">
        <v>197000</v>
      </c>
      <c r="O154" s="32">
        <v>85735</v>
      </c>
      <c r="P154" s="32">
        <f t="shared" si="62"/>
        <v>697735</v>
      </c>
      <c r="Q154" s="32"/>
      <c r="R154" s="32">
        <f t="shared" si="63"/>
        <v>697735</v>
      </c>
      <c r="S154" s="168"/>
      <c r="T154" s="168"/>
      <c r="U154" s="168"/>
      <c r="V154" s="168"/>
      <c r="W154" s="168"/>
      <c r="X154" s="168"/>
      <c r="Y154" s="168"/>
      <c r="Z154" s="168"/>
      <c r="AA154" s="171"/>
      <c r="AB154" s="171"/>
      <c r="AC154" s="171"/>
      <c r="AD154" s="44"/>
      <c r="AE154" s="259"/>
      <c r="AF154" s="260"/>
      <c r="AG154" s="260"/>
      <c r="AH154" s="260"/>
      <c r="AI154" s="260"/>
      <c r="AJ154" s="258"/>
    </row>
    <row r="155" spans="2:36" s="1" customFormat="1" x14ac:dyDescent="0.25">
      <c r="B155" s="31"/>
      <c r="C155" s="231" t="s">
        <v>31</v>
      </c>
      <c r="D155" s="31"/>
      <c r="E155" s="31"/>
      <c r="F155" s="166"/>
      <c r="G155" s="167"/>
      <c r="H155" s="32"/>
      <c r="I155" s="32"/>
      <c r="J155" s="32">
        <f t="shared" si="64"/>
        <v>0</v>
      </c>
      <c r="K155" s="168"/>
      <c r="L155" s="32">
        <f t="shared" si="65"/>
        <v>0</v>
      </c>
      <c r="M155" s="32"/>
      <c r="N155" s="168"/>
      <c r="O155" s="32">
        <v>194265</v>
      </c>
      <c r="P155" s="32">
        <f t="shared" si="62"/>
        <v>194265</v>
      </c>
      <c r="Q155" s="32"/>
      <c r="R155" s="32">
        <f t="shared" si="63"/>
        <v>194265</v>
      </c>
      <c r="S155" s="168"/>
      <c r="T155" s="168"/>
      <c r="U155" s="168"/>
      <c r="V155" s="168"/>
      <c r="W155" s="168"/>
      <c r="X155" s="168"/>
      <c r="Y155" s="168"/>
      <c r="Z155" s="168"/>
      <c r="AA155" s="171"/>
      <c r="AB155" s="171"/>
      <c r="AC155" s="171"/>
      <c r="AD155" s="44"/>
      <c r="AE155" s="259"/>
      <c r="AF155" s="260"/>
      <c r="AG155" s="260"/>
      <c r="AH155" s="260"/>
      <c r="AI155" s="260"/>
      <c r="AJ155" s="258"/>
    </row>
    <row r="156" spans="2:36" s="1" customFormat="1" ht="26.4" x14ac:dyDescent="0.25">
      <c r="B156" s="31" t="s">
        <v>138</v>
      </c>
      <c r="C156" s="31" t="s">
        <v>0</v>
      </c>
      <c r="D156" s="31" t="s">
        <v>37</v>
      </c>
      <c r="E156" s="31"/>
      <c r="F156" s="31"/>
      <c r="G156" s="124"/>
      <c r="H156" s="32">
        <v>350000</v>
      </c>
      <c r="I156" s="32">
        <v>140000</v>
      </c>
      <c r="J156" s="32">
        <f t="shared" si="64"/>
        <v>490000</v>
      </c>
      <c r="K156" s="32"/>
      <c r="L156" s="32">
        <f t="shared" si="65"/>
        <v>490000</v>
      </c>
      <c r="M156" s="32">
        <v>350000</v>
      </c>
      <c r="N156" s="32">
        <v>0</v>
      </c>
      <c r="O156" s="32"/>
      <c r="P156" s="32">
        <f t="shared" si="62"/>
        <v>350000</v>
      </c>
      <c r="Q156" s="32"/>
      <c r="R156" s="32">
        <f t="shared" si="63"/>
        <v>350000</v>
      </c>
      <c r="S156" s="32"/>
      <c r="T156" s="32"/>
      <c r="U156" s="32"/>
      <c r="V156" s="32"/>
      <c r="W156" s="32"/>
      <c r="X156" s="32"/>
      <c r="Y156" s="32"/>
      <c r="Z156" s="32"/>
      <c r="AA156" s="36"/>
      <c r="AB156" s="36"/>
      <c r="AC156" s="36"/>
      <c r="AD156" s="36"/>
      <c r="AE156" s="259"/>
      <c r="AF156" s="260"/>
      <c r="AG156" s="260"/>
      <c r="AH156" s="260"/>
      <c r="AI156" s="260"/>
      <c r="AJ156" s="258"/>
    </row>
    <row r="157" spans="2:36" s="1" customFormat="1" ht="26.4" x14ac:dyDescent="0.25">
      <c r="B157" s="31" t="s">
        <v>139</v>
      </c>
      <c r="C157" s="31" t="s">
        <v>0</v>
      </c>
      <c r="D157" s="31" t="s">
        <v>37</v>
      </c>
      <c r="E157" s="31"/>
      <c r="F157" s="31"/>
      <c r="G157" s="124"/>
      <c r="H157" s="32">
        <v>580000</v>
      </c>
      <c r="I157" s="32">
        <v>370000</v>
      </c>
      <c r="J157" s="32">
        <f t="shared" si="64"/>
        <v>950000</v>
      </c>
      <c r="K157" s="32"/>
      <c r="L157" s="32">
        <f t="shared" si="65"/>
        <v>950000</v>
      </c>
      <c r="M157" s="32">
        <v>580000</v>
      </c>
      <c r="N157" s="32">
        <v>0</v>
      </c>
      <c r="O157" s="32"/>
      <c r="P157" s="32">
        <f t="shared" si="62"/>
        <v>580000</v>
      </c>
      <c r="Q157" s="32"/>
      <c r="R157" s="32">
        <f t="shared" si="63"/>
        <v>580000</v>
      </c>
      <c r="S157" s="32"/>
      <c r="T157" s="32"/>
      <c r="U157" s="32"/>
      <c r="V157" s="32"/>
      <c r="W157" s="32"/>
      <c r="X157" s="32"/>
      <c r="Y157" s="32"/>
      <c r="Z157" s="32"/>
      <c r="AA157" s="36"/>
      <c r="AB157" s="36"/>
      <c r="AC157" s="36"/>
      <c r="AD157" s="36"/>
      <c r="AE157" s="259"/>
      <c r="AF157" s="260"/>
      <c r="AG157" s="260"/>
      <c r="AH157" s="260"/>
      <c r="AI157" s="260"/>
      <c r="AJ157" s="258"/>
    </row>
    <row r="158" spans="2:36" s="1" customFormat="1" ht="51" x14ac:dyDescent="0.25">
      <c r="B158" s="68" t="s">
        <v>140</v>
      </c>
      <c r="C158" s="69" t="s">
        <v>0</v>
      </c>
      <c r="D158" s="69" t="s">
        <v>37</v>
      </c>
      <c r="E158" s="69"/>
      <c r="F158" s="69" t="s">
        <v>331</v>
      </c>
      <c r="G158" s="163">
        <v>2024</v>
      </c>
      <c r="H158" s="70">
        <v>3000000</v>
      </c>
      <c r="I158" s="70">
        <v>600000</v>
      </c>
      <c r="J158" s="70">
        <f t="shared" si="64"/>
        <v>3600000</v>
      </c>
      <c r="K158" s="70"/>
      <c r="L158" s="70">
        <f t="shared" si="65"/>
        <v>3600000</v>
      </c>
      <c r="M158" s="70">
        <v>240000</v>
      </c>
      <c r="N158" s="70">
        <v>0</v>
      </c>
      <c r="O158" s="70"/>
      <c r="P158" s="70">
        <f t="shared" si="62"/>
        <v>240000</v>
      </c>
      <c r="Q158" s="70"/>
      <c r="R158" s="70">
        <f t="shared" si="63"/>
        <v>240000</v>
      </c>
      <c r="S158" s="70">
        <v>2260000</v>
      </c>
      <c r="T158" s="70">
        <v>1100000</v>
      </c>
      <c r="U158" s="70"/>
      <c r="V158" s="70"/>
      <c r="W158" s="70">
        <v>288000</v>
      </c>
      <c r="X158" s="70">
        <v>2940000</v>
      </c>
      <c r="Y158" s="70">
        <v>240000</v>
      </c>
      <c r="Z158" s="70">
        <v>132000</v>
      </c>
      <c r="AA158" s="105" t="s">
        <v>414</v>
      </c>
      <c r="AB158" s="105" t="s">
        <v>423</v>
      </c>
      <c r="AC158" s="105" t="s">
        <v>328</v>
      </c>
      <c r="AD158" s="105" t="s">
        <v>424</v>
      </c>
      <c r="AE158" s="259"/>
      <c r="AF158" s="260"/>
      <c r="AG158" s="260"/>
      <c r="AH158" s="260"/>
      <c r="AI158" s="260"/>
      <c r="AJ158" s="258"/>
    </row>
    <row r="159" spans="2:36" s="186" customFormat="1" ht="40.799999999999997" x14ac:dyDescent="0.3">
      <c r="B159" s="187" t="s">
        <v>141</v>
      </c>
      <c r="C159" s="188" t="s">
        <v>0</v>
      </c>
      <c r="D159" s="188" t="s">
        <v>37</v>
      </c>
      <c r="E159" s="188"/>
      <c r="F159" s="188" t="s">
        <v>425</v>
      </c>
      <c r="G159" s="189">
        <v>2024</v>
      </c>
      <c r="H159" s="190">
        <v>2160000</v>
      </c>
      <c r="I159" s="190">
        <v>-2160000</v>
      </c>
      <c r="J159" s="190">
        <f t="shared" si="64"/>
        <v>0</v>
      </c>
      <c r="K159" s="190">
        <f>2160000+1200000</f>
        <v>3360000</v>
      </c>
      <c r="L159" s="190">
        <f t="shared" si="65"/>
        <v>3360000</v>
      </c>
      <c r="M159" s="190">
        <v>792000</v>
      </c>
      <c r="N159" s="190">
        <v>-792000</v>
      </c>
      <c r="O159" s="190"/>
      <c r="P159" s="190">
        <f t="shared" si="62"/>
        <v>0</v>
      </c>
      <c r="Q159" s="190"/>
      <c r="R159" s="190">
        <f t="shared" si="63"/>
        <v>0</v>
      </c>
      <c r="S159" s="190">
        <v>2000000</v>
      </c>
      <c r="T159" s="190">
        <v>568000</v>
      </c>
      <c r="U159" s="190"/>
      <c r="V159" s="190"/>
      <c r="W159" s="190">
        <v>250000</v>
      </c>
      <c r="X159" s="190">
        <v>2710000</v>
      </c>
      <c r="Y159" s="190">
        <v>200000</v>
      </c>
      <c r="Z159" s="190">
        <v>200000</v>
      </c>
      <c r="AA159" s="191" t="s">
        <v>334</v>
      </c>
      <c r="AB159" s="191" t="s">
        <v>426</v>
      </c>
      <c r="AC159" s="191" t="s">
        <v>39</v>
      </c>
      <c r="AD159" s="191" t="s">
        <v>427</v>
      </c>
      <c r="AE159" s="259"/>
      <c r="AF159" s="265"/>
      <c r="AG159" s="265"/>
      <c r="AH159" s="265"/>
      <c r="AI159" s="265"/>
      <c r="AJ159" s="258"/>
    </row>
    <row r="160" spans="2:36" s="186" customFormat="1" ht="13.8" x14ac:dyDescent="0.3">
      <c r="B160" s="31" t="s">
        <v>142</v>
      </c>
      <c r="C160" s="31" t="s">
        <v>0</v>
      </c>
      <c r="D160" s="31" t="s">
        <v>37</v>
      </c>
      <c r="E160" s="31"/>
      <c r="F160" s="31"/>
      <c r="G160" s="124"/>
      <c r="H160" s="32">
        <f>SUM(H161)</f>
        <v>9030000</v>
      </c>
      <c r="I160" s="32">
        <v>0</v>
      </c>
      <c r="J160" s="32">
        <f t="shared" si="64"/>
        <v>9030000</v>
      </c>
      <c r="K160" s="32"/>
      <c r="L160" s="32">
        <f t="shared" si="65"/>
        <v>9030000</v>
      </c>
      <c r="M160" s="32">
        <f t="shared" ref="M160" si="75">SUM(M161)</f>
        <v>2500000</v>
      </c>
      <c r="N160" s="32">
        <f>SUM(N161)</f>
        <v>-2500000</v>
      </c>
      <c r="O160" s="32">
        <f>SUM(O161)</f>
        <v>194754</v>
      </c>
      <c r="P160" s="32">
        <f t="shared" si="62"/>
        <v>194754</v>
      </c>
      <c r="Q160" s="32"/>
      <c r="R160" s="32">
        <f t="shared" si="63"/>
        <v>194754</v>
      </c>
      <c r="S160" s="32">
        <f>S161</f>
        <v>5730000</v>
      </c>
      <c r="T160" s="32">
        <f t="shared" ref="T160:Z160" si="76">T161</f>
        <v>500000</v>
      </c>
      <c r="U160" s="32">
        <f t="shared" si="76"/>
        <v>0</v>
      </c>
      <c r="V160" s="32">
        <f t="shared" si="76"/>
        <v>0</v>
      </c>
      <c r="W160" s="32">
        <f t="shared" si="76"/>
        <v>233880</v>
      </c>
      <c r="X160" s="32">
        <f t="shared" si="76"/>
        <v>7800000</v>
      </c>
      <c r="Y160" s="32">
        <f t="shared" si="76"/>
        <v>720000</v>
      </c>
      <c r="Z160" s="32">
        <f t="shared" si="76"/>
        <v>276120</v>
      </c>
      <c r="AA160" s="36"/>
      <c r="AB160" s="36"/>
      <c r="AC160" s="36"/>
      <c r="AD160" s="36"/>
      <c r="AE160" s="259"/>
      <c r="AF160" s="265"/>
      <c r="AG160" s="265"/>
      <c r="AH160" s="265"/>
      <c r="AI160" s="265"/>
      <c r="AJ160" s="258"/>
    </row>
    <row r="161" spans="2:36" s="193" customFormat="1" ht="61.2" x14ac:dyDescent="0.25">
      <c r="B161" s="75" t="s">
        <v>143</v>
      </c>
      <c r="C161" s="35"/>
      <c r="D161" s="35"/>
      <c r="E161" s="35"/>
      <c r="F161" s="35" t="s">
        <v>416</v>
      </c>
      <c r="G161" s="127"/>
      <c r="H161" s="36">
        <v>9030000</v>
      </c>
      <c r="I161" s="36">
        <v>0</v>
      </c>
      <c r="J161" s="36">
        <f t="shared" si="64"/>
        <v>9030000</v>
      </c>
      <c r="K161" s="32"/>
      <c r="L161" s="36">
        <f t="shared" si="65"/>
        <v>9030000</v>
      </c>
      <c r="M161" s="36">
        <v>2500000</v>
      </c>
      <c r="N161" s="36">
        <v>-2500000</v>
      </c>
      <c r="O161" s="36">
        <v>194754</v>
      </c>
      <c r="P161" s="36">
        <f t="shared" si="62"/>
        <v>194754</v>
      </c>
      <c r="Q161" s="36"/>
      <c r="R161" s="36">
        <f t="shared" si="63"/>
        <v>194754</v>
      </c>
      <c r="S161" s="36">
        <v>5730000</v>
      </c>
      <c r="T161" s="36">
        <v>500000</v>
      </c>
      <c r="U161" s="36"/>
      <c r="V161" s="36"/>
      <c r="W161" s="36">
        <v>233880</v>
      </c>
      <c r="X161" s="36">
        <v>7800000</v>
      </c>
      <c r="Y161" s="36">
        <v>720000</v>
      </c>
      <c r="Z161" s="192">
        <v>276120</v>
      </c>
      <c r="AA161" s="132" t="s">
        <v>307</v>
      </c>
      <c r="AB161" s="132" t="s">
        <v>330</v>
      </c>
      <c r="AC161" s="132" t="s">
        <v>328</v>
      </c>
      <c r="AD161" s="105" t="s">
        <v>428</v>
      </c>
      <c r="AE161" s="259"/>
      <c r="AF161" s="266"/>
      <c r="AG161" s="266"/>
      <c r="AH161" s="266"/>
      <c r="AI161" s="266"/>
      <c r="AJ161" s="258"/>
    </row>
    <row r="162" spans="2:36" s="186" customFormat="1" ht="30.6" x14ac:dyDescent="0.3">
      <c r="B162" s="31" t="s">
        <v>144</v>
      </c>
      <c r="C162" s="31" t="s">
        <v>0</v>
      </c>
      <c r="D162" s="31" t="s">
        <v>37</v>
      </c>
      <c r="E162" s="31"/>
      <c r="F162" s="166" t="s">
        <v>288</v>
      </c>
      <c r="G162" s="167">
        <v>2024</v>
      </c>
      <c r="H162" s="32">
        <v>1770000</v>
      </c>
      <c r="I162" s="32">
        <v>266000</v>
      </c>
      <c r="J162" s="32">
        <f t="shared" si="64"/>
        <v>2036000</v>
      </c>
      <c r="K162" s="168">
        <f>930000-266000</f>
        <v>664000</v>
      </c>
      <c r="L162" s="32">
        <f t="shared" si="65"/>
        <v>2700000</v>
      </c>
      <c r="M162" s="32">
        <v>200000</v>
      </c>
      <c r="N162" s="168">
        <v>150000</v>
      </c>
      <c r="O162" s="168"/>
      <c r="P162" s="32">
        <f t="shared" si="62"/>
        <v>350000</v>
      </c>
      <c r="Q162" s="32"/>
      <c r="R162" s="32">
        <f t="shared" si="63"/>
        <v>350000</v>
      </c>
      <c r="S162" s="168">
        <v>2000000</v>
      </c>
      <c r="T162" s="168">
        <v>500000</v>
      </c>
      <c r="U162" s="168"/>
      <c r="V162" s="168"/>
      <c r="W162" s="168">
        <v>150000</v>
      </c>
      <c r="X162" s="168">
        <v>2250000</v>
      </c>
      <c r="Y162" s="168">
        <v>100000</v>
      </c>
      <c r="Z162" s="168">
        <v>200000</v>
      </c>
      <c r="AA162" s="171" t="s">
        <v>334</v>
      </c>
      <c r="AB162" s="171" t="s">
        <v>426</v>
      </c>
      <c r="AC162" s="171" t="s">
        <v>39</v>
      </c>
      <c r="AD162" s="171" t="s">
        <v>429</v>
      </c>
      <c r="AE162" s="259"/>
      <c r="AF162" s="265"/>
      <c r="AG162" s="265"/>
      <c r="AH162" s="265"/>
      <c r="AI162" s="265"/>
      <c r="AJ162" s="258"/>
    </row>
    <row r="163" spans="2:36" s="186" customFormat="1" ht="26.4" x14ac:dyDescent="0.3">
      <c r="B163" s="31" t="s">
        <v>539</v>
      </c>
      <c r="C163" s="31" t="s">
        <v>0</v>
      </c>
      <c r="D163" s="31" t="s">
        <v>331</v>
      </c>
      <c r="E163" s="31"/>
      <c r="F163" s="166"/>
      <c r="G163" s="167"/>
      <c r="H163" s="32"/>
      <c r="I163" s="32">
        <v>16000</v>
      </c>
      <c r="J163" s="32">
        <f t="shared" si="64"/>
        <v>16000</v>
      </c>
      <c r="K163" s="168"/>
      <c r="L163" s="32">
        <f t="shared" si="65"/>
        <v>16000</v>
      </c>
      <c r="M163" s="32"/>
      <c r="N163" s="168">
        <v>16000</v>
      </c>
      <c r="O163" s="168"/>
      <c r="P163" s="32">
        <f t="shared" si="62"/>
        <v>16000</v>
      </c>
      <c r="Q163" s="32"/>
      <c r="R163" s="32">
        <f t="shared" si="63"/>
        <v>16000</v>
      </c>
      <c r="S163" s="168"/>
      <c r="T163" s="168"/>
      <c r="U163" s="168"/>
      <c r="V163" s="168"/>
      <c r="W163" s="168"/>
      <c r="X163" s="168"/>
      <c r="Y163" s="168"/>
      <c r="Z163" s="168"/>
      <c r="AA163" s="171"/>
      <c r="AB163" s="171"/>
      <c r="AC163" s="171"/>
      <c r="AD163" s="171"/>
      <c r="AE163" s="259"/>
      <c r="AF163" s="265"/>
      <c r="AG163" s="265"/>
      <c r="AH163" s="265"/>
      <c r="AI163" s="265"/>
      <c r="AJ163" s="258"/>
    </row>
    <row r="164" spans="2:36" s="186" customFormat="1" ht="13.8" x14ac:dyDescent="0.3">
      <c r="B164" s="31" t="s">
        <v>145</v>
      </c>
      <c r="C164" s="31" t="s">
        <v>0</v>
      </c>
      <c r="D164" s="31" t="s">
        <v>146</v>
      </c>
      <c r="E164" s="31"/>
      <c r="F164" s="31"/>
      <c r="G164" s="31"/>
      <c r="H164" s="32">
        <v>100000</v>
      </c>
      <c r="I164" s="32">
        <v>0</v>
      </c>
      <c r="J164" s="32">
        <f t="shared" si="64"/>
        <v>100000</v>
      </c>
      <c r="K164" s="32"/>
      <c r="L164" s="32">
        <f t="shared" si="65"/>
        <v>100000</v>
      </c>
      <c r="M164" s="32">
        <v>100000</v>
      </c>
      <c r="N164" s="32">
        <v>0</v>
      </c>
      <c r="O164" s="32"/>
      <c r="P164" s="32">
        <f t="shared" si="62"/>
        <v>100000</v>
      </c>
      <c r="Q164" s="32"/>
      <c r="R164" s="32">
        <f t="shared" si="63"/>
        <v>100000</v>
      </c>
      <c r="S164" s="32"/>
      <c r="T164" s="32"/>
      <c r="U164" s="32"/>
      <c r="V164" s="32"/>
      <c r="W164" s="32"/>
      <c r="X164" s="32"/>
      <c r="Y164" s="32"/>
      <c r="Z164" s="32"/>
      <c r="AA164" s="36"/>
      <c r="AB164" s="36"/>
      <c r="AC164" s="36"/>
      <c r="AD164" s="36"/>
      <c r="AE164" s="259"/>
      <c r="AF164" s="265"/>
      <c r="AG164" s="265"/>
      <c r="AH164" s="265"/>
      <c r="AI164" s="265"/>
      <c r="AJ164" s="258"/>
    </row>
    <row r="165" spans="2:36" s="1" customFormat="1" ht="102" x14ac:dyDescent="0.25">
      <c r="B165" s="31" t="s">
        <v>147</v>
      </c>
      <c r="C165" s="31" t="s">
        <v>0</v>
      </c>
      <c r="D165" s="31" t="s">
        <v>37</v>
      </c>
      <c r="E165" s="31"/>
      <c r="F165" s="31"/>
      <c r="G165" s="31"/>
      <c r="H165" s="32">
        <f>500000+245000</f>
        <v>745000</v>
      </c>
      <c r="I165" s="32">
        <v>0</v>
      </c>
      <c r="J165" s="32">
        <f t="shared" si="64"/>
        <v>745000</v>
      </c>
      <c r="K165" s="32"/>
      <c r="L165" s="32">
        <f t="shared" si="65"/>
        <v>745000</v>
      </c>
      <c r="M165" s="32">
        <f>500000+245000</f>
        <v>745000</v>
      </c>
      <c r="N165" s="32">
        <v>0</v>
      </c>
      <c r="O165" s="32">
        <v>104527</v>
      </c>
      <c r="P165" s="32">
        <f t="shared" si="62"/>
        <v>849527</v>
      </c>
      <c r="Q165" s="32"/>
      <c r="R165" s="32">
        <f t="shared" si="63"/>
        <v>849527</v>
      </c>
      <c r="S165" s="32">
        <f>761000-261000</f>
        <v>500000</v>
      </c>
      <c r="T165" s="32">
        <f>777000-277000</f>
        <v>500000</v>
      </c>
      <c r="U165" s="32">
        <f>793000-293000</f>
        <v>500000</v>
      </c>
      <c r="V165" s="32">
        <f>810000-310000</f>
        <v>500000</v>
      </c>
      <c r="W165" s="32"/>
      <c r="X165" s="32"/>
      <c r="Y165" s="32"/>
      <c r="Z165" s="32"/>
      <c r="AA165" s="36"/>
      <c r="AB165" s="36"/>
      <c r="AC165" s="36"/>
      <c r="AD165" s="36" t="s">
        <v>430</v>
      </c>
      <c r="AE165" s="259"/>
      <c r="AF165" s="260"/>
      <c r="AG165" s="260"/>
      <c r="AH165" s="260"/>
      <c r="AI165" s="260"/>
      <c r="AJ165" s="258"/>
    </row>
    <row r="166" spans="2:36" s="1" customFormat="1" x14ac:dyDescent="0.25">
      <c r="B166" s="45" t="s">
        <v>148</v>
      </c>
      <c r="C166" s="45" t="s">
        <v>3</v>
      </c>
      <c r="D166" s="45"/>
      <c r="E166" s="45"/>
      <c r="F166" s="45"/>
      <c r="G166" s="45"/>
      <c r="H166" s="46">
        <f>H167+H170+H173</f>
        <v>520807000</v>
      </c>
      <c r="I166" s="46">
        <f>I167+I170+I173</f>
        <v>81675</v>
      </c>
      <c r="J166" s="46">
        <f t="shared" si="64"/>
        <v>520888675</v>
      </c>
      <c r="K166" s="46">
        <f>K167+K170+K173</f>
        <v>17600000</v>
      </c>
      <c r="L166" s="46">
        <f t="shared" si="65"/>
        <v>538488675</v>
      </c>
      <c r="M166" s="46">
        <f>M167+M173</f>
        <v>14387000</v>
      </c>
      <c r="N166" s="46">
        <f>N167+N170+N173</f>
        <v>-154523</v>
      </c>
      <c r="O166" s="46">
        <f>O167+O170+O173</f>
        <v>9267</v>
      </c>
      <c r="P166" s="46">
        <f t="shared" si="62"/>
        <v>14241744</v>
      </c>
      <c r="Q166" s="46"/>
      <c r="R166" s="46">
        <f t="shared" si="63"/>
        <v>14241744</v>
      </c>
      <c r="S166" s="46">
        <f t="shared" ref="S166:V166" si="77">S167+S170+S173</f>
        <v>45600000</v>
      </c>
      <c r="T166" s="46">
        <f t="shared" si="77"/>
        <v>58800000</v>
      </c>
      <c r="U166" s="46">
        <f t="shared" si="77"/>
        <v>187200000</v>
      </c>
      <c r="V166" s="46">
        <f t="shared" si="77"/>
        <v>230400000</v>
      </c>
      <c r="W166" s="46">
        <f t="shared" ref="W166" si="78">W167+W170+W173</f>
        <v>111600000</v>
      </c>
      <c r="X166" s="46">
        <f t="shared" ref="X166" si="79">X167+X170+X173</f>
        <v>354000000</v>
      </c>
      <c r="Y166" s="46">
        <f t="shared" ref="Y166" si="80">Y167+Y170+Y173</f>
        <v>72000000</v>
      </c>
      <c r="Z166" s="46">
        <f t="shared" ref="Z166" si="81">Z167+Z170+Z173</f>
        <v>0</v>
      </c>
      <c r="AA166" s="46"/>
      <c r="AB166" s="46"/>
      <c r="AC166" s="46"/>
      <c r="AD166" s="147"/>
      <c r="AE166" s="259"/>
      <c r="AF166" s="260"/>
      <c r="AG166" s="260"/>
      <c r="AH166" s="260"/>
      <c r="AI166" s="260"/>
      <c r="AJ166" s="258"/>
    </row>
    <row r="167" spans="2:36" s="1" customFormat="1" x14ac:dyDescent="0.25">
      <c r="B167" s="187" t="s">
        <v>149</v>
      </c>
      <c r="C167" s="31" t="s">
        <v>3</v>
      </c>
      <c r="D167" s="188" t="s">
        <v>146</v>
      </c>
      <c r="E167" s="188"/>
      <c r="F167" s="188"/>
      <c r="G167" s="188"/>
      <c r="H167" s="190">
        <f>SUM(H168:H169)</f>
        <v>520000000</v>
      </c>
      <c r="I167" s="190">
        <f>SUM(I168:I169)</f>
        <v>-519178944</v>
      </c>
      <c r="J167" s="190">
        <f t="shared" si="64"/>
        <v>821056</v>
      </c>
      <c r="K167" s="245"/>
      <c r="L167" s="245">
        <f t="shared" si="65"/>
        <v>821056</v>
      </c>
      <c r="M167" s="245">
        <f>SUM(M168:M169)</f>
        <v>13580000</v>
      </c>
      <c r="N167" s="245">
        <f>SUM(N168:N169)</f>
        <v>-12758944</v>
      </c>
      <c r="O167" s="245"/>
      <c r="P167" s="190">
        <f t="shared" si="62"/>
        <v>821056</v>
      </c>
      <c r="Q167" s="190"/>
      <c r="R167" s="190">
        <f t="shared" si="63"/>
        <v>821056</v>
      </c>
      <c r="S167" s="190">
        <v>45600000</v>
      </c>
      <c r="T167" s="190">
        <v>58800000</v>
      </c>
      <c r="U167" s="190">
        <v>187200000</v>
      </c>
      <c r="V167" s="190">
        <v>230400000</v>
      </c>
      <c r="W167" s="190">
        <f>93000000*1.2</f>
        <v>111600000</v>
      </c>
      <c r="X167" s="190">
        <f>295000000*1.2</f>
        <v>354000000</v>
      </c>
      <c r="Y167" s="190">
        <f>60000000*1.2</f>
        <v>72000000</v>
      </c>
      <c r="Z167" s="190"/>
      <c r="AA167" s="190" t="s">
        <v>431</v>
      </c>
      <c r="AB167" s="190" t="s">
        <v>431</v>
      </c>
      <c r="AC167" s="190"/>
      <c r="AD167" s="191"/>
      <c r="AE167" s="259"/>
      <c r="AF167" s="260"/>
      <c r="AG167" s="260"/>
      <c r="AH167" s="260"/>
      <c r="AI167" s="260"/>
      <c r="AJ167" s="258"/>
    </row>
    <row r="168" spans="2:36" s="1" customFormat="1" x14ac:dyDescent="0.25">
      <c r="B168" s="187"/>
      <c r="C168" s="188" t="s">
        <v>0</v>
      </c>
      <c r="D168" s="188"/>
      <c r="E168" s="188"/>
      <c r="F168" s="188"/>
      <c r="G168" s="188"/>
      <c r="H168" s="190">
        <v>100000000</v>
      </c>
      <c r="I168" s="190">
        <v>-99178944</v>
      </c>
      <c r="J168" s="190">
        <f t="shared" si="64"/>
        <v>821056</v>
      </c>
      <c r="K168" s="245"/>
      <c r="L168" s="245">
        <f t="shared" si="65"/>
        <v>821056</v>
      </c>
      <c r="M168" s="245">
        <f>1700000+1500000-1000000</f>
        <v>2200000</v>
      </c>
      <c r="N168" s="245">
        <v>-1378944</v>
      </c>
      <c r="O168" s="245"/>
      <c r="P168" s="190">
        <f t="shared" si="62"/>
        <v>821056</v>
      </c>
      <c r="Q168" s="190"/>
      <c r="R168" s="190">
        <f t="shared" si="63"/>
        <v>821056</v>
      </c>
      <c r="S168" s="245">
        <f>S167-S169</f>
        <v>9900000</v>
      </c>
      <c r="T168" s="245">
        <f t="shared" ref="T168:Y168" si="82">T167-T169</f>
        <v>12770000</v>
      </c>
      <c r="U168" s="245">
        <f t="shared" si="82"/>
        <v>40660000</v>
      </c>
      <c r="V168" s="245">
        <f t="shared" si="82"/>
        <v>50050000</v>
      </c>
      <c r="W168" s="245">
        <f>W167-W169</f>
        <v>24410000</v>
      </c>
      <c r="X168" s="245">
        <f t="shared" si="82"/>
        <v>77440000</v>
      </c>
      <c r="Y168" s="245">
        <f t="shared" si="82"/>
        <v>15750000</v>
      </c>
      <c r="Z168" s="190"/>
      <c r="AA168" s="190"/>
      <c r="AB168" s="190"/>
      <c r="AC168" s="190"/>
      <c r="AD168" s="191"/>
      <c r="AE168" s="259"/>
      <c r="AF168" s="267"/>
      <c r="AG168" s="267"/>
      <c r="AH168" s="267"/>
      <c r="AI168" s="267"/>
      <c r="AJ168" s="258"/>
    </row>
    <row r="169" spans="2:36" s="1" customFormat="1" x14ac:dyDescent="0.25">
      <c r="B169" s="187"/>
      <c r="C169" s="188" t="s">
        <v>33</v>
      </c>
      <c r="D169" s="188"/>
      <c r="E169" s="188"/>
      <c r="F169" s="188"/>
      <c r="G169" s="188"/>
      <c r="H169" s="190">
        <f>280000000+40000000+100000000</f>
        <v>420000000</v>
      </c>
      <c r="I169" s="190">
        <v>-420000000</v>
      </c>
      <c r="J169" s="190">
        <f t="shared" si="64"/>
        <v>0</v>
      </c>
      <c r="K169" s="245"/>
      <c r="L169" s="245">
        <f t="shared" si="65"/>
        <v>0</v>
      </c>
      <c r="M169" s="245">
        <f>8000000+1700000+680000+1000000</f>
        <v>11380000</v>
      </c>
      <c r="N169" s="245">
        <v>-11380000</v>
      </c>
      <c r="O169" s="245"/>
      <c r="P169" s="190">
        <f t="shared" si="62"/>
        <v>0</v>
      </c>
      <c r="Q169" s="190"/>
      <c r="R169" s="190">
        <f t="shared" si="63"/>
        <v>0</v>
      </c>
      <c r="S169" s="245">
        <v>35700000</v>
      </c>
      <c r="T169" s="245">
        <v>46030000</v>
      </c>
      <c r="U169" s="245">
        <v>146540000</v>
      </c>
      <c r="V169" s="245">
        <v>180350000</v>
      </c>
      <c r="W169" s="245">
        <v>87190000</v>
      </c>
      <c r="X169" s="245">
        <v>276560000</v>
      </c>
      <c r="Y169" s="245">
        <v>56250000</v>
      </c>
      <c r="Z169" s="190"/>
      <c r="AA169" s="190"/>
      <c r="AB169" s="190"/>
      <c r="AC169" s="190"/>
      <c r="AD169" s="191"/>
      <c r="AE169" s="259"/>
      <c r="AF169" s="268"/>
      <c r="AG169" s="268"/>
      <c r="AH169" s="268"/>
      <c r="AI169" s="268"/>
      <c r="AJ169" s="258"/>
    </row>
    <row r="170" spans="2:36" s="1" customFormat="1" ht="26.4" x14ac:dyDescent="0.25">
      <c r="B170" s="221" t="s">
        <v>540</v>
      </c>
      <c r="C170" s="31" t="s">
        <v>3</v>
      </c>
      <c r="D170" s="222" t="s">
        <v>146</v>
      </c>
      <c r="E170" s="188"/>
      <c r="F170" s="188"/>
      <c r="G170" s="188"/>
      <c r="H170" s="190"/>
      <c r="I170" s="190">
        <f>SUM(I171:I172)</f>
        <v>519178944</v>
      </c>
      <c r="J170" s="190">
        <f t="shared" si="64"/>
        <v>519178944</v>
      </c>
      <c r="K170" s="245">
        <f>K171</f>
        <v>17600000</v>
      </c>
      <c r="L170" s="245">
        <f t="shared" si="65"/>
        <v>536778944</v>
      </c>
      <c r="M170" s="245"/>
      <c r="N170" s="245">
        <f>SUM(N171:N172)</f>
        <v>12522746</v>
      </c>
      <c r="O170" s="245"/>
      <c r="P170" s="190">
        <f t="shared" si="62"/>
        <v>12522746</v>
      </c>
      <c r="Q170" s="190"/>
      <c r="R170" s="190">
        <f t="shared" si="63"/>
        <v>12522746</v>
      </c>
      <c r="S170" s="245"/>
      <c r="T170" s="245"/>
      <c r="U170" s="245"/>
      <c r="V170" s="245"/>
      <c r="W170" s="245"/>
      <c r="X170" s="245"/>
      <c r="Y170" s="245"/>
      <c r="Z170" s="190"/>
      <c r="AA170" s="190"/>
      <c r="AB170" s="190"/>
      <c r="AC170" s="190"/>
      <c r="AD170" s="191"/>
      <c r="AE170" s="259"/>
      <c r="AF170" s="268"/>
      <c r="AG170" s="268"/>
      <c r="AH170" s="268"/>
      <c r="AI170" s="268"/>
      <c r="AJ170" s="258"/>
    </row>
    <row r="171" spans="2:36" s="1" customFormat="1" x14ac:dyDescent="0.25">
      <c r="B171" s="221"/>
      <c r="C171" s="222" t="s">
        <v>0</v>
      </c>
      <c r="D171" s="222"/>
      <c r="E171" s="188"/>
      <c r="F171" s="188"/>
      <c r="G171" s="188"/>
      <c r="H171" s="190"/>
      <c r="I171" s="190">
        <v>99178944</v>
      </c>
      <c r="J171" s="190">
        <f t="shared" si="64"/>
        <v>99178944</v>
      </c>
      <c r="K171" s="245">
        <v>17600000</v>
      </c>
      <c r="L171" s="245">
        <f t="shared" si="65"/>
        <v>116778944</v>
      </c>
      <c r="M171" s="245"/>
      <c r="N171" s="245">
        <v>1142746</v>
      </c>
      <c r="O171" s="245"/>
      <c r="P171" s="190">
        <f t="shared" si="62"/>
        <v>1142746</v>
      </c>
      <c r="Q171" s="190"/>
      <c r="R171" s="190">
        <f t="shared" si="63"/>
        <v>1142746</v>
      </c>
      <c r="S171" s="245"/>
      <c r="T171" s="245"/>
      <c r="U171" s="245"/>
      <c r="V171" s="245"/>
      <c r="W171" s="245"/>
      <c r="X171" s="245"/>
      <c r="Y171" s="245"/>
      <c r="Z171" s="190"/>
      <c r="AA171" s="190"/>
      <c r="AB171" s="190"/>
      <c r="AC171" s="190"/>
      <c r="AD171" s="191"/>
      <c r="AE171" s="259"/>
      <c r="AF171" s="268"/>
      <c r="AG171" s="268"/>
      <c r="AH171" s="268"/>
      <c r="AI171" s="268"/>
      <c r="AJ171" s="258"/>
    </row>
    <row r="172" spans="2:36" s="1" customFormat="1" x14ac:dyDescent="0.25">
      <c r="B172" s="221"/>
      <c r="C172" s="222" t="s">
        <v>33</v>
      </c>
      <c r="D172" s="222"/>
      <c r="E172" s="188"/>
      <c r="F172" s="188"/>
      <c r="G172" s="188"/>
      <c r="H172" s="190"/>
      <c r="I172" s="190">
        <v>420000000</v>
      </c>
      <c r="J172" s="190">
        <f t="shared" si="64"/>
        <v>420000000</v>
      </c>
      <c r="K172" s="190"/>
      <c r="L172" s="190">
        <f t="shared" si="65"/>
        <v>420000000</v>
      </c>
      <c r="M172" s="190"/>
      <c r="N172" s="190">
        <v>11380000</v>
      </c>
      <c r="O172" s="190"/>
      <c r="P172" s="190">
        <f t="shared" si="62"/>
        <v>11380000</v>
      </c>
      <c r="Q172" s="190"/>
      <c r="R172" s="190">
        <f t="shared" si="63"/>
        <v>11380000</v>
      </c>
      <c r="S172" s="245"/>
      <c r="T172" s="245"/>
      <c r="U172" s="245"/>
      <c r="V172" s="245"/>
      <c r="W172" s="245"/>
      <c r="X172" s="245"/>
      <c r="Y172" s="245"/>
      <c r="Z172" s="190"/>
      <c r="AA172" s="190"/>
      <c r="AB172" s="190"/>
      <c r="AC172" s="190"/>
      <c r="AD172" s="191"/>
      <c r="AE172" s="259"/>
      <c r="AF172" s="268"/>
      <c r="AG172" s="268"/>
      <c r="AH172" s="268"/>
      <c r="AI172" s="268"/>
      <c r="AJ172" s="258"/>
    </row>
    <row r="173" spans="2:36" s="1" customFormat="1" ht="26.4" x14ac:dyDescent="0.25">
      <c r="B173" s="31" t="s">
        <v>150</v>
      </c>
      <c r="C173" s="31" t="s">
        <v>3</v>
      </c>
      <c r="D173" s="31" t="s">
        <v>146</v>
      </c>
      <c r="E173" s="31"/>
      <c r="F173" s="31"/>
      <c r="G173" s="31"/>
      <c r="H173" s="32">
        <f>H174+H175</f>
        <v>807000</v>
      </c>
      <c r="I173" s="32">
        <f>I174+I175</f>
        <v>81675</v>
      </c>
      <c r="J173" s="32">
        <f t="shared" si="64"/>
        <v>888675</v>
      </c>
      <c r="K173" s="32"/>
      <c r="L173" s="32">
        <f t="shared" si="65"/>
        <v>888675</v>
      </c>
      <c r="M173" s="32">
        <f>M174+M175</f>
        <v>807000</v>
      </c>
      <c r="N173" s="32">
        <f>N174+N175</f>
        <v>81675</v>
      </c>
      <c r="O173" s="32">
        <f t="shared" ref="O173" si="83">O174+O175</f>
        <v>9267</v>
      </c>
      <c r="P173" s="32">
        <f t="shared" si="62"/>
        <v>897942</v>
      </c>
      <c r="Q173" s="32"/>
      <c r="R173" s="32">
        <f t="shared" si="63"/>
        <v>897942</v>
      </c>
      <c r="S173" s="194"/>
      <c r="T173" s="194"/>
      <c r="U173" s="194"/>
      <c r="V173" s="194"/>
      <c r="W173" s="194"/>
      <c r="X173" s="32"/>
      <c r="Y173" s="32"/>
      <c r="Z173" s="32"/>
      <c r="AA173" s="32"/>
      <c r="AB173" s="32"/>
      <c r="AC173" s="32"/>
      <c r="AD173" s="36"/>
      <c r="AE173" s="259"/>
      <c r="AF173" s="260"/>
      <c r="AG173" s="260"/>
      <c r="AH173" s="260"/>
      <c r="AI173" s="260"/>
      <c r="AJ173" s="258"/>
    </row>
    <row r="174" spans="2:36" s="1" customFormat="1" x14ac:dyDescent="0.25">
      <c r="B174" s="31"/>
      <c r="C174" s="31" t="s">
        <v>32</v>
      </c>
      <c r="D174" s="31"/>
      <c r="E174" s="31"/>
      <c r="F174" s="31"/>
      <c r="G174" s="31"/>
      <c r="H174" s="32">
        <v>502800</v>
      </c>
      <c r="I174" s="32">
        <v>0</v>
      </c>
      <c r="J174" s="32">
        <f t="shared" si="64"/>
        <v>502800</v>
      </c>
      <c r="K174" s="32"/>
      <c r="L174" s="32">
        <f t="shared" si="65"/>
        <v>502800</v>
      </c>
      <c r="M174" s="32">
        <v>502800</v>
      </c>
      <c r="N174" s="32">
        <v>0</v>
      </c>
      <c r="O174" s="32">
        <v>9267</v>
      </c>
      <c r="P174" s="32">
        <f t="shared" si="62"/>
        <v>512067</v>
      </c>
      <c r="Q174" s="32"/>
      <c r="R174" s="32">
        <f t="shared" si="63"/>
        <v>512067</v>
      </c>
      <c r="S174" s="32"/>
      <c r="T174" s="32"/>
      <c r="U174" s="32"/>
      <c r="V174" s="32"/>
      <c r="W174" s="32"/>
      <c r="X174" s="32"/>
      <c r="Y174" s="32"/>
      <c r="Z174" s="32"/>
      <c r="AA174" s="32"/>
      <c r="AB174" s="32"/>
      <c r="AC174" s="32"/>
      <c r="AD174" s="36"/>
      <c r="AE174" s="259"/>
      <c r="AF174" s="260"/>
      <c r="AG174" s="260"/>
      <c r="AH174" s="260"/>
      <c r="AI174" s="260"/>
      <c r="AJ174" s="258"/>
    </row>
    <row r="175" spans="2:36" s="1" customFormat="1" x14ac:dyDescent="0.25">
      <c r="B175" s="31"/>
      <c r="C175" s="31" t="s">
        <v>0</v>
      </c>
      <c r="D175" s="31"/>
      <c r="E175" s="31"/>
      <c r="F175" s="31"/>
      <c r="G175" s="31"/>
      <c r="H175" s="32">
        <v>304200</v>
      </c>
      <c r="I175" s="32">
        <v>81675</v>
      </c>
      <c r="J175" s="32">
        <f t="shared" si="64"/>
        <v>385875</v>
      </c>
      <c r="K175" s="32"/>
      <c r="L175" s="32">
        <f t="shared" si="65"/>
        <v>385875</v>
      </c>
      <c r="M175" s="32">
        <v>304200</v>
      </c>
      <c r="N175" s="32">
        <v>81675</v>
      </c>
      <c r="O175" s="32"/>
      <c r="P175" s="32">
        <f t="shared" si="62"/>
        <v>385875</v>
      </c>
      <c r="Q175" s="32"/>
      <c r="R175" s="32">
        <f t="shared" si="63"/>
        <v>385875</v>
      </c>
      <c r="S175" s="32"/>
      <c r="T175" s="32"/>
      <c r="U175" s="32"/>
      <c r="V175" s="32"/>
      <c r="W175" s="32"/>
      <c r="X175" s="32"/>
      <c r="Y175" s="32"/>
      <c r="Z175" s="32"/>
      <c r="AA175" s="32"/>
      <c r="AB175" s="32"/>
      <c r="AC175" s="32"/>
      <c r="AD175" s="36"/>
      <c r="AE175" s="259"/>
      <c r="AF175" s="260"/>
      <c r="AG175" s="260"/>
      <c r="AH175" s="260"/>
      <c r="AI175" s="260"/>
      <c r="AJ175" s="258"/>
    </row>
    <row r="176" spans="2:36" s="1" customFormat="1" x14ac:dyDescent="0.25">
      <c r="B176" s="45" t="s">
        <v>151</v>
      </c>
      <c r="C176" s="45" t="s">
        <v>3</v>
      </c>
      <c r="D176" s="45"/>
      <c r="E176" s="45"/>
      <c r="F176" s="45"/>
      <c r="G176" s="45"/>
      <c r="H176" s="46">
        <f>SUM(H177:H178,H181:H188)</f>
        <v>36107000</v>
      </c>
      <c r="I176" s="46">
        <f>SUM(I177:I178,I181:I188)</f>
        <v>2400170</v>
      </c>
      <c r="J176" s="46">
        <f t="shared" si="64"/>
        <v>38507170</v>
      </c>
      <c r="K176" s="46">
        <f>SUM(K177:K178,K181:K188)</f>
        <v>6000000</v>
      </c>
      <c r="L176" s="46">
        <f t="shared" si="65"/>
        <v>44507170</v>
      </c>
      <c r="M176" s="46">
        <f>M188+M177+M178+M181+M182+M183+M184+M185</f>
        <v>12535000</v>
      </c>
      <c r="N176" s="46">
        <f>SUM(N177:N178,N181:N188)</f>
        <v>-4753830</v>
      </c>
      <c r="O176" s="46">
        <f>SUM(O177:O178,O181:O188)</f>
        <v>1178033</v>
      </c>
      <c r="P176" s="46">
        <f t="shared" si="62"/>
        <v>8959203</v>
      </c>
      <c r="Q176" s="46"/>
      <c r="R176" s="46">
        <f t="shared" si="63"/>
        <v>8959203</v>
      </c>
      <c r="S176" s="46">
        <f t="shared" ref="S176:V176" si="84">SUM(S177:S178,S181:S188)</f>
        <v>27636400</v>
      </c>
      <c r="T176" s="46">
        <f t="shared" si="84"/>
        <v>4330000</v>
      </c>
      <c r="U176" s="46">
        <f t="shared" si="84"/>
        <v>793000</v>
      </c>
      <c r="V176" s="46">
        <f t="shared" si="84"/>
        <v>810000</v>
      </c>
      <c r="W176" s="46">
        <f t="shared" ref="W176" si="85">SUM(W177:W178,W181:W188)</f>
        <v>1947982</v>
      </c>
      <c r="X176" s="46">
        <f t="shared" ref="X176" si="86">SUM(X177:X178,X181:X188)</f>
        <v>36901400</v>
      </c>
      <c r="Y176" s="46">
        <f t="shared" ref="Y176" si="87">SUM(Y177:Y178,Y181:Y188)</f>
        <v>2300000</v>
      </c>
      <c r="Z176" s="46">
        <f t="shared" ref="Z176" si="88">SUM(Z177:Z178,Z181:Z188)</f>
        <v>1416000</v>
      </c>
      <c r="AA176" s="46"/>
      <c r="AB176" s="46"/>
      <c r="AC176" s="46"/>
      <c r="AD176" s="147"/>
      <c r="AE176" s="259"/>
      <c r="AF176" s="260"/>
      <c r="AG176" s="260"/>
      <c r="AH176" s="260"/>
      <c r="AI176" s="260"/>
      <c r="AJ176" s="258"/>
    </row>
    <row r="177" spans="1:36" ht="51" x14ac:dyDescent="0.25">
      <c r="B177" s="31" t="s">
        <v>152</v>
      </c>
      <c r="C177" s="31" t="s">
        <v>0</v>
      </c>
      <c r="D177" s="31" t="s">
        <v>37</v>
      </c>
      <c r="E177" s="31"/>
      <c r="F177" s="166" t="s">
        <v>416</v>
      </c>
      <c r="G177" s="167">
        <v>2023</v>
      </c>
      <c r="H177" s="32">
        <v>13716000</v>
      </c>
      <c r="I177" s="32">
        <v>0</v>
      </c>
      <c r="J177" s="32">
        <f t="shared" si="64"/>
        <v>13716000</v>
      </c>
      <c r="K177" s="32">
        <v>1500000</v>
      </c>
      <c r="L177" s="32">
        <f t="shared" si="65"/>
        <v>15216000</v>
      </c>
      <c r="M177" s="32">
        <f>6800000-2000000</f>
        <v>4800000</v>
      </c>
      <c r="N177" s="32">
        <v>-4800000</v>
      </c>
      <c r="O177" s="32">
        <v>261510</v>
      </c>
      <c r="P177" s="32">
        <f t="shared" si="62"/>
        <v>261510</v>
      </c>
      <c r="Q177" s="32"/>
      <c r="R177" s="32">
        <f t="shared" si="63"/>
        <v>261510</v>
      </c>
      <c r="S177" s="32">
        <v>10019000</v>
      </c>
      <c r="T177" s="32"/>
      <c r="U177" s="32"/>
      <c r="V177" s="32"/>
      <c r="W177" s="32">
        <v>289982</v>
      </c>
      <c r="X177" s="32">
        <v>13900000</v>
      </c>
      <c r="Y177" s="32">
        <v>1000000</v>
      </c>
      <c r="Z177" s="32">
        <v>316000</v>
      </c>
      <c r="AA177" s="32" t="s">
        <v>432</v>
      </c>
      <c r="AB177" s="32" t="s">
        <v>289</v>
      </c>
      <c r="AC177" s="32" t="s">
        <v>321</v>
      </c>
      <c r="AD177" s="36" t="s">
        <v>433</v>
      </c>
      <c r="AE177" s="259"/>
      <c r="AF177" s="257"/>
      <c r="AG177" s="257"/>
      <c r="AH177" s="257"/>
      <c r="AI177" s="257"/>
      <c r="AJ177" s="258"/>
    </row>
    <row r="178" spans="1:36" s="1" customFormat="1" ht="26.4" x14ac:dyDescent="0.25">
      <c r="B178" s="31" t="s">
        <v>153</v>
      </c>
      <c r="C178" s="31" t="s">
        <v>3</v>
      </c>
      <c r="D178" s="31" t="s">
        <v>37</v>
      </c>
      <c r="E178" s="31"/>
      <c r="F178" s="31"/>
      <c r="G178" s="124"/>
      <c r="H178" s="32">
        <f>SUM(H180:H180)</f>
        <v>13600000</v>
      </c>
      <c r="I178" s="32">
        <v>1500000</v>
      </c>
      <c r="J178" s="32">
        <f t="shared" si="64"/>
        <v>15100000</v>
      </c>
      <c r="K178" s="32">
        <f>SUM(K180:K180)</f>
        <v>0</v>
      </c>
      <c r="L178" s="32">
        <f t="shared" si="65"/>
        <v>15100000</v>
      </c>
      <c r="M178" s="32">
        <f>SUM(M180:M180)</f>
        <v>4000000</v>
      </c>
      <c r="N178" s="32">
        <v>0</v>
      </c>
      <c r="O178" s="32">
        <f>SUM(O180:O180)</f>
        <v>335604</v>
      </c>
      <c r="P178" s="32">
        <f t="shared" si="62"/>
        <v>4335604</v>
      </c>
      <c r="Q178" s="32"/>
      <c r="R178" s="32">
        <f t="shared" si="63"/>
        <v>4335604</v>
      </c>
      <c r="S178" s="32">
        <f>SUM(S180:S180)</f>
        <v>10200000</v>
      </c>
      <c r="T178" s="32">
        <f t="shared" ref="T178:Z178" si="89">SUM(T180:T180)</f>
        <v>0</v>
      </c>
      <c r="U178" s="32">
        <f t="shared" si="89"/>
        <v>0</v>
      </c>
      <c r="V178" s="32">
        <f t="shared" si="89"/>
        <v>0</v>
      </c>
      <c r="W178" s="32">
        <f t="shared" si="89"/>
        <v>358000</v>
      </c>
      <c r="X178" s="32">
        <f t="shared" si="89"/>
        <v>13042000</v>
      </c>
      <c r="Y178" s="32">
        <f t="shared" si="89"/>
        <v>700000</v>
      </c>
      <c r="Z178" s="32">
        <f t="shared" si="89"/>
        <v>500000</v>
      </c>
      <c r="AA178" s="32"/>
      <c r="AB178" s="32"/>
      <c r="AC178" s="32"/>
      <c r="AD178" s="36"/>
      <c r="AE178" s="259"/>
      <c r="AF178" s="260"/>
      <c r="AG178" s="260"/>
      <c r="AH178" s="260"/>
      <c r="AI178" s="260"/>
      <c r="AJ178" s="258"/>
    </row>
    <row r="179" spans="1:36" s="1" customFormat="1" x14ac:dyDescent="0.25">
      <c r="B179" s="31"/>
      <c r="C179" s="31" t="s">
        <v>0</v>
      </c>
      <c r="D179" s="31"/>
      <c r="E179" s="31"/>
      <c r="F179" s="31"/>
      <c r="G179" s="124"/>
      <c r="H179" s="32">
        <f>H178</f>
        <v>13600000</v>
      </c>
      <c r="I179" s="32">
        <v>1500000</v>
      </c>
      <c r="J179" s="32">
        <f t="shared" si="64"/>
        <v>15100000</v>
      </c>
      <c r="K179" s="32">
        <f>K178</f>
        <v>0</v>
      </c>
      <c r="L179" s="32">
        <f t="shared" si="65"/>
        <v>15100000</v>
      </c>
      <c r="M179" s="32">
        <f>M178</f>
        <v>4000000</v>
      </c>
      <c r="N179" s="32">
        <v>0</v>
      </c>
      <c r="O179" s="32">
        <f>O178</f>
        <v>335604</v>
      </c>
      <c r="P179" s="32">
        <f t="shared" si="62"/>
        <v>4335604</v>
      </c>
      <c r="Q179" s="32"/>
      <c r="R179" s="32">
        <f t="shared" si="63"/>
        <v>4335604</v>
      </c>
      <c r="S179" s="32">
        <f>S178</f>
        <v>10200000</v>
      </c>
      <c r="T179" s="32">
        <f t="shared" ref="T179:Z179" si="90">T178</f>
        <v>0</v>
      </c>
      <c r="U179" s="32">
        <f t="shared" si="90"/>
        <v>0</v>
      </c>
      <c r="V179" s="32">
        <f t="shared" si="90"/>
        <v>0</v>
      </c>
      <c r="W179" s="32">
        <f t="shared" si="90"/>
        <v>358000</v>
      </c>
      <c r="X179" s="32">
        <f t="shared" si="90"/>
        <v>13042000</v>
      </c>
      <c r="Y179" s="32">
        <f t="shared" si="90"/>
        <v>700000</v>
      </c>
      <c r="Z179" s="32">
        <f t="shared" si="90"/>
        <v>500000</v>
      </c>
      <c r="AA179" s="32"/>
      <c r="AB179" s="32"/>
      <c r="AC179" s="32"/>
      <c r="AD179" s="36"/>
      <c r="AE179" s="259"/>
      <c r="AF179" s="260"/>
      <c r="AG179" s="260"/>
      <c r="AH179" s="260"/>
      <c r="AI179" s="260"/>
      <c r="AJ179" s="258"/>
    </row>
    <row r="180" spans="1:36" s="37" customFormat="1" ht="51" x14ac:dyDescent="0.25">
      <c r="B180" s="75" t="s">
        <v>154</v>
      </c>
      <c r="C180" s="35"/>
      <c r="D180" s="35"/>
      <c r="E180" s="35"/>
      <c r="F180" s="172"/>
      <c r="G180" s="173">
        <v>2023</v>
      </c>
      <c r="H180" s="36">
        <v>13600000</v>
      </c>
      <c r="I180" s="36">
        <v>1500000</v>
      </c>
      <c r="J180" s="36">
        <f t="shared" si="64"/>
        <v>15100000</v>
      </c>
      <c r="K180" s="36"/>
      <c r="L180" s="36">
        <f t="shared" si="65"/>
        <v>15100000</v>
      </c>
      <c r="M180" s="36">
        <f>5500000-1500000</f>
        <v>4000000</v>
      </c>
      <c r="N180" s="36">
        <v>0</v>
      </c>
      <c r="O180" s="36">
        <v>335604</v>
      </c>
      <c r="P180" s="36">
        <f t="shared" si="62"/>
        <v>4335604</v>
      </c>
      <c r="Q180" s="36"/>
      <c r="R180" s="36">
        <f t="shared" si="63"/>
        <v>4335604</v>
      </c>
      <c r="S180" s="36">
        <v>10200000</v>
      </c>
      <c r="T180" s="36"/>
      <c r="U180" s="36"/>
      <c r="V180" s="36"/>
      <c r="W180" s="36">
        <v>358000</v>
      </c>
      <c r="X180" s="36">
        <v>13042000</v>
      </c>
      <c r="Y180" s="36">
        <v>700000</v>
      </c>
      <c r="Z180" s="36">
        <v>500000</v>
      </c>
      <c r="AA180" s="36" t="s">
        <v>346</v>
      </c>
      <c r="AB180" s="36" t="s">
        <v>295</v>
      </c>
      <c r="AC180" s="36" t="s">
        <v>321</v>
      </c>
      <c r="AD180" s="36" t="s">
        <v>434</v>
      </c>
      <c r="AE180" s="259"/>
      <c r="AF180" s="261"/>
      <c r="AG180" s="261"/>
      <c r="AH180" s="261"/>
      <c r="AI180" s="261"/>
      <c r="AJ180" s="258"/>
    </row>
    <row r="181" spans="1:36" s="1" customFormat="1" ht="51" x14ac:dyDescent="0.25">
      <c r="B181" s="31" t="s">
        <v>155</v>
      </c>
      <c r="C181" s="31" t="s">
        <v>0</v>
      </c>
      <c r="D181" s="31" t="s">
        <v>37</v>
      </c>
      <c r="E181" s="31"/>
      <c r="F181" s="31"/>
      <c r="G181" s="124">
        <v>2024</v>
      </c>
      <c r="H181" s="32">
        <v>5356000</v>
      </c>
      <c r="I181" s="32">
        <v>804000</v>
      </c>
      <c r="J181" s="32">
        <f t="shared" si="64"/>
        <v>6160000</v>
      </c>
      <c r="K181" s="32"/>
      <c r="L181" s="32">
        <f t="shared" si="65"/>
        <v>6160000</v>
      </c>
      <c r="M181" s="32">
        <v>300000</v>
      </c>
      <c r="N181" s="32">
        <v>-50000</v>
      </c>
      <c r="O181" s="32"/>
      <c r="P181" s="32">
        <f t="shared" si="62"/>
        <v>250000</v>
      </c>
      <c r="Q181" s="32"/>
      <c r="R181" s="32">
        <f t="shared" si="63"/>
        <v>250000</v>
      </c>
      <c r="S181" s="32">
        <v>3356400</v>
      </c>
      <c r="T181" s="32">
        <v>2553000</v>
      </c>
      <c r="U181" s="32"/>
      <c r="V181" s="32"/>
      <c r="W181" s="32">
        <v>250000</v>
      </c>
      <c r="X181" s="32">
        <v>5659400</v>
      </c>
      <c r="Y181" s="32">
        <v>150000</v>
      </c>
      <c r="Z181" s="32">
        <v>100000</v>
      </c>
      <c r="AA181" s="32" t="s">
        <v>435</v>
      </c>
      <c r="AB181" s="32" t="s">
        <v>290</v>
      </c>
      <c r="AC181" s="32" t="s">
        <v>291</v>
      </c>
      <c r="AD181" s="36" t="s">
        <v>436</v>
      </c>
      <c r="AE181" s="259"/>
      <c r="AF181" s="260"/>
      <c r="AG181" s="260"/>
      <c r="AH181" s="260"/>
      <c r="AI181" s="260"/>
      <c r="AJ181" s="258"/>
    </row>
    <row r="182" spans="1:36" s="1" customFormat="1" x14ac:dyDescent="0.25">
      <c r="B182" s="31" t="s">
        <v>156</v>
      </c>
      <c r="C182" s="31" t="s">
        <v>0</v>
      </c>
      <c r="D182" s="31" t="s">
        <v>36</v>
      </c>
      <c r="E182" s="31"/>
      <c r="F182" s="31"/>
      <c r="G182" s="124"/>
      <c r="H182" s="32">
        <v>385000</v>
      </c>
      <c r="I182" s="32">
        <v>0</v>
      </c>
      <c r="J182" s="32">
        <f t="shared" si="64"/>
        <v>385000</v>
      </c>
      <c r="K182" s="32"/>
      <c r="L182" s="32">
        <f t="shared" si="65"/>
        <v>385000</v>
      </c>
      <c r="M182" s="32">
        <v>385000</v>
      </c>
      <c r="N182" s="32">
        <v>0</v>
      </c>
      <c r="O182" s="32"/>
      <c r="P182" s="32">
        <f t="shared" si="62"/>
        <v>385000</v>
      </c>
      <c r="Q182" s="32"/>
      <c r="R182" s="32">
        <f t="shared" si="63"/>
        <v>385000</v>
      </c>
      <c r="S182" s="32"/>
      <c r="T182" s="32"/>
      <c r="U182" s="32"/>
      <c r="V182" s="32"/>
      <c r="W182" s="32"/>
      <c r="X182" s="32"/>
      <c r="Y182" s="32"/>
      <c r="Z182" s="32"/>
      <c r="AA182" s="32"/>
      <c r="AB182" s="32"/>
      <c r="AC182" s="32"/>
      <c r="AD182" s="36"/>
      <c r="AE182" s="259"/>
      <c r="AF182" s="260"/>
      <c r="AG182" s="260"/>
      <c r="AH182" s="260"/>
      <c r="AI182" s="260"/>
      <c r="AJ182" s="258"/>
    </row>
    <row r="183" spans="1:36" s="37" customFormat="1" ht="40.799999999999997" x14ac:dyDescent="0.25">
      <c r="B183" s="31" t="s">
        <v>157</v>
      </c>
      <c r="C183" s="31" t="s">
        <v>0</v>
      </c>
      <c r="D183" s="31" t="s">
        <v>37</v>
      </c>
      <c r="E183" s="31"/>
      <c r="F183" s="31"/>
      <c r="G183" s="124">
        <v>2023</v>
      </c>
      <c r="H183" s="32">
        <v>100000</v>
      </c>
      <c r="I183" s="32">
        <v>0</v>
      </c>
      <c r="J183" s="32">
        <f t="shared" si="64"/>
        <v>100000</v>
      </c>
      <c r="K183" s="32">
        <v>1700000</v>
      </c>
      <c r="L183" s="32">
        <f t="shared" si="65"/>
        <v>1800000</v>
      </c>
      <c r="M183" s="32">
        <v>100000</v>
      </c>
      <c r="N183" s="32">
        <v>0</v>
      </c>
      <c r="O183" s="32"/>
      <c r="P183" s="32">
        <f t="shared" si="62"/>
        <v>100000</v>
      </c>
      <c r="Q183" s="32"/>
      <c r="R183" s="32">
        <f t="shared" si="63"/>
        <v>100000</v>
      </c>
      <c r="S183" s="32">
        <v>500000</v>
      </c>
      <c r="T183" s="32">
        <v>1000000</v>
      </c>
      <c r="U183" s="32"/>
      <c r="V183" s="32"/>
      <c r="W183" s="32">
        <v>200000</v>
      </c>
      <c r="X183" s="32">
        <v>1300000</v>
      </c>
      <c r="Y183" s="32">
        <v>100000</v>
      </c>
      <c r="Z183" s="32">
        <v>200000</v>
      </c>
      <c r="AA183" s="32" t="s">
        <v>437</v>
      </c>
      <c r="AB183" s="32" t="s">
        <v>438</v>
      </c>
      <c r="AC183" s="32" t="s">
        <v>290</v>
      </c>
      <c r="AD183" s="36" t="s">
        <v>439</v>
      </c>
      <c r="AE183" s="259"/>
      <c r="AF183" s="261"/>
      <c r="AG183" s="261"/>
      <c r="AH183" s="261"/>
      <c r="AI183" s="261"/>
      <c r="AJ183" s="258"/>
    </row>
    <row r="184" spans="1:36" s="37" customFormat="1" ht="39.6" x14ac:dyDescent="0.25">
      <c r="B184" s="31" t="s">
        <v>158</v>
      </c>
      <c r="C184" s="31" t="s">
        <v>0</v>
      </c>
      <c r="D184" s="31" t="s">
        <v>37</v>
      </c>
      <c r="E184" s="31"/>
      <c r="F184" s="166"/>
      <c r="G184" s="167">
        <v>2022</v>
      </c>
      <c r="H184" s="32">
        <f>250000+500000+50000</f>
        <v>800000</v>
      </c>
      <c r="I184" s="32">
        <v>0</v>
      </c>
      <c r="J184" s="32">
        <f t="shared" si="64"/>
        <v>800000</v>
      </c>
      <c r="K184" s="32"/>
      <c r="L184" s="32">
        <f t="shared" si="65"/>
        <v>800000</v>
      </c>
      <c r="M184" s="32">
        <f>250000+500000+50000</f>
        <v>800000</v>
      </c>
      <c r="N184" s="32">
        <v>0</v>
      </c>
      <c r="O184" s="32"/>
      <c r="P184" s="32">
        <f t="shared" si="62"/>
        <v>800000</v>
      </c>
      <c r="Q184" s="32"/>
      <c r="R184" s="32">
        <f t="shared" si="63"/>
        <v>800000</v>
      </c>
      <c r="S184" s="32"/>
      <c r="T184" s="32"/>
      <c r="U184" s="32"/>
      <c r="V184" s="32"/>
      <c r="W184" s="32">
        <v>700000</v>
      </c>
      <c r="X184" s="32"/>
      <c r="Y184" s="32"/>
      <c r="Z184" s="32">
        <v>100000</v>
      </c>
      <c r="AA184" s="32" t="s">
        <v>440</v>
      </c>
      <c r="AB184" s="32" t="s">
        <v>414</v>
      </c>
      <c r="AC184" s="32"/>
      <c r="AD184" s="36" t="s">
        <v>441</v>
      </c>
      <c r="AE184" s="259"/>
      <c r="AF184" s="261"/>
      <c r="AG184" s="261"/>
      <c r="AH184" s="261"/>
      <c r="AI184" s="261"/>
      <c r="AJ184" s="258"/>
    </row>
    <row r="185" spans="1:36" s="37" customFormat="1" ht="26.4" x14ac:dyDescent="0.25">
      <c r="A185" s="76">
        <f>M185</f>
        <v>500000</v>
      </c>
      <c r="B185" s="31" t="s">
        <v>159</v>
      </c>
      <c r="C185" s="31" t="s">
        <v>0</v>
      </c>
      <c r="D185" s="31" t="s">
        <v>36</v>
      </c>
      <c r="E185" s="31"/>
      <c r="F185" s="31"/>
      <c r="G185" s="31"/>
      <c r="H185" s="32">
        <v>500000</v>
      </c>
      <c r="I185" s="32">
        <v>0</v>
      </c>
      <c r="J185" s="32">
        <f t="shared" si="64"/>
        <v>500000</v>
      </c>
      <c r="K185" s="32"/>
      <c r="L185" s="32">
        <f t="shared" si="65"/>
        <v>500000</v>
      </c>
      <c r="M185" s="32">
        <v>500000</v>
      </c>
      <c r="N185" s="32">
        <v>0</v>
      </c>
      <c r="O185" s="32"/>
      <c r="P185" s="32">
        <f t="shared" si="62"/>
        <v>500000</v>
      </c>
      <c r="Q185" s="32"/>
      <c r="R185" s="32">
        <f t="shared" si="63"/>
        <v>500000</v>
      </c>
      <c r="S185" s="32"/>
      <c r="T185" s="32"/>
      <c r="U185" s="32"/>
      <c r="V185" s="32"/>
      <c r="W185" s="32"/>
      <c r="X185" s="32"/>
      <c r="Y185" s="32"/>
      <c r="Z185" s="32"/>
      <c r="AA185" s="32"/>
      <c r="AB185" s="32"/>
      <c r="AC185" s="32"/>
      <c r="AD185" s="36"/>
      <c r="AE185" s="259"/>
      <c r="AF185" s="261"/>
      <c r="AG185" s="261"/>
      <c r="AH185" s="261"/>
      <c r="AI185" s="261"/>
      <c r="AJ185" s="258"/>
    </row>
    <row r="186" spans="1:36" s="37" customFormat="1" x14ac:dyDescent="0.25">
      <c r="A186" s="76"/>
      <c r="B186" s="210" t="s">
        <v>541</v>
      </c>
      <c r="C186" s="210" t="s">
        <v>0</v>
      </c>
      <c r="D186" s="210" t="s">
        <v>325</v>
      </c>
      <c r="E186" s="31"/>
      <c r="F186" s="31"/>
      <c r="G186" s="31"/>
      <c r="H186" s="32"/>
      <c r="I186" s="32">
        <v>51170</v>
      </c>
      <c r="J186" s="32">
        <f t="shared" si="64"/>
        <v>51170</v>
      </c>
      <c r="K186" s="32"/>
      <c r="L186" s="32">
        <f t="shared" si="65"/>
        <v>51170</v>
      </c>
      <c r="M186" s="32"/>
      <c r="N186" s="32">
        <v>51170</v>
      </c>
      <c r="O186" s="32"/>
      <c r="P186" s="32">
        <f t="shared" si="62"/>
        <v>51170</v>
      </c>
      <c r="Q186" s="32"/>
      <c r="R186" s="32">
        <f t="shared" si="63"/>
        <v>51170</v>
      </c>
      <c r="S186" s="32"/>
      <c r="T186" s="32"/>
      <c r="U186" s="32"/>
      <c r="V186" s="32"/>
      <c r="W186" s="32"/>
      <c r="X186" s="32"/>
      <c r="Y186" s="32"/>
      <c r="Z186" s="32"/>
      <c r="AA186" s="32"/>
      <c r="AB186" s="32"/>
      <c r="AC186" s="32"/>
      <c r="AD186" s="36"/>
      <c r="AE186" s="259"/>
      <c r="AF186" s="261"/>
      <c r="AG186" s="261"/>
      <c r="AH186" s="261"/>
      <c r="AI186" s="261"/>
      <c r="AJ186" s="258"/>
    </row>
    <row r="187" spans="1:36" s="37" customFormat="1" ht="26.4" x14ac:dyDescent="0.25">
      <c r="A187" s="76"/>
      <c r="B187" s="210" t="s">
        <v>542</v>
      </c>
      <c r="C187" s="210" t="s">
        <v>0</v>
      </c>
      <c r="D187" s="210" t="s">
        <v>288</v>
      </c>
      <c r="E187" s="31"/>
      <c r="F187" s="31"/>
      <c r="G187" s="31"/>
      <c r="H187" s="32"/>
      <c r="I187" s="32">
        <v>45000</v>
      </c>
      <c r="J187" s="32">
        <f t="shared" si="64"/>
        <v>45000</v>
      </c>
      <c r="K187" s="32"/>
      <c r="L187" s="32">
        <f t="shared" si="65"/>
        <v>45000</v>
      </c>
      <c r="M187" s="32"/>
      <c r="N187" s="32">
        <v>45000</v>
      </c>
      <c r="O187" s="32"/>
      <c r="P187" s="32">
        <f t="shared" si="62"/>
        <v>45000</v>
      </c>
      <c r="Q187" s="32"/>
      <c r="R187" s="32">
        <f t="shared" si="63"/>
        <v>45000</v>
      </c>
      <c r="S187" s="32"/>
      <c r="T187" s="32"/>
      <c r="U187" s="32"/>
      <c r="V187" s="32"/>
      <c r="W187" s="32"/>
      <c r="X187" s="32"/>
      <c r="Y187" s="32"/>
      <c r="Z187" s="32"/>
      <c r="AA187" s="32"/>
      <c r="AB187" s="32"/>
      <c r="AC187" s="32"/>
      <c r="AD187" s="36"/>
      <c r="AE187" s="259"/>
      <c r="AF187" s="261"/>
      <c r="AG187" s="261"/>
      <c r="AH187" s="261"/>
      <c r="AI187" s="261"/>
      <c r="AJ187" s="258"/>
    </row>
    <row r="188" spans="1:36" ht="81.599999999999994" x14ac:dyDescent="0.25">
      <c r="B188" s="31" t="s">
        <v>160</v>
      </c>
      <c r="C188" s="31" t="s">
        <v>0</v>
      </c>
      <c r="D188" s="31" t="s">
        <v>37</v>
      </c>
      <c r="E188" s="31"/>
      <c r="F188" s="31"/>
      <c r="G188" s="31"/>
      <c r="H188" s="32">
        <f>750000+900000</f>
        <v>1650000</v>
      </c>
      <c r="I188" s="32">
        <v>0</v>
      </c>
      <c r="J188" s="32">
        <f t="shared" si="64"/>
        <v>1650000</v>
      </c>
      <c r="K188" s="32">
        <v>2800000</v>
      </c>
      <c r="L188" s="32">
        <f t="shared" si="65"/>
        <v>4450000</v>
      </c>
      <c r="M188" s="32">
        <f>750000+900000</f>
        <v>1650000</v>
      </c>
      <c r="N188" s="32">
        <v>0</v>
      </c>
      <c r="O188" s="32">
        <v>580919</v>
      </c>
      <c r="P188" s="32">
        <f t="shared" si="62"/>
        <v>2230919</v>
      </c>
      <c r="Q188" s="32"/>
      <c r="R188" s="32">
        <f t="shared" si="63"/>
        <v>2230919</v>
      </c>
      <c r="S188" s="32">
        <v>3561000</v>
      </c>
      <c r="T188" s="32">
        <v>777000</v>
      </c>
      <c r="U188" s="32">
        <v>793000</v>
      </c>
      <c r="V188" s="32">
        <v>810000</v>
      </c>
      <c r="W188" s="32">
        <v>150000</v>
      </c>
      <c r="X188" s="32">
        <v>3000000</v>
      </c>
      <c r="Y188" s="32">
        <v>350000</v>
      </c>
      <c r="Z188" s="32">
        <v>200000</v>
      </c>
      <c r="AA188" s="32"/>
      <c r="AB188" s="32"/>
      <c r="AC188" s="32"/>
      <c r="AD188" s="36" t="s">
        <v>442</v>
      </c>
      <c r="AE188" s="259"/>
      <c r="AF188" s="257"/>
      <c r="AG188" s="257"/>
      <c r="AH188" s="257"/>
      <c r="AI188" s="257"/>
      <c r="AJ188" s="258"/>
    </row>
    <row r="189" spans="1:36" s="1" customFormat="1" x14ac:dyDescent="0.25">
      <c r="B189" s="45" t="s">
        <v>161</v>
      </c>
      <c r="C189" s="45" t="s">
        <v>3</v>
      </c>
      <c r="D189" s="45"/>
      <c r="E189" s="45"/>
      <c r="F189" s="45"/>
      <c r="G189" s="45"/>
      <c r="H189" s="46">
        <f>SUM(H190:H193,H196)</f>
        <v>7674004</v>
      </c>
      <c r="I189" s="46">
        <f>SUM(I190:I193,I196)</f>
        <v>5688000</v>
      </c>
      <c r="J189" s="46">
        <f t="shared" si="64"/>
        <v>13362004</v>
      </c>
      <c r="K189" s="46">
        <f>SUM(K190:K193,K196)</f>
        <v>336800</v>
      </c>
      <c r="L189" s="46">
        <f t="shared" si="65"/>
        <v>13698804</v>
      </c>
      <c r="M189" s="46">
        <f>SUM(M190:M193)</f>
        <v>501900</v>
      </c>
      <c r="N189" s="46">
        <f>SUM(N190:N193,N196)</f>
        <v>5938000</v>
      </c>
      <c r="O189" s="46">
        <f>SUM(O190:O193,O196)</f>
        <v>498717</v>
      </c>
      <c r="P189" s="46">
        <f t="shared" si="62"/>
        <v>6938617</v>
      </c>
      <c r="Q189" s="46"/>
      <c r="R189" s="46">
        <f t="shared" si="63"/>
        <v>6938617</v>
      </c>
      <c r="S189" s="46">
        <f t="shared" ref="S189:Z189" si="91">SUM(S190:S193,S196)</f>
        <v>897400</v>
      </c>
      <c r="T189" s="46">
        <f t="shared" si="91"/>
        <v>1735000</v>
      </c>
      <c r="U189" s="46">
        <f t="shared" si="91"/>
        <v>2125000</v>
      </c>
      <c r="V189" s="46">
        <f t="shared" si="91"/>
        <v>1120000</v>
      </c>
      <c r="W189" s="46">
        <f t="shared" si="91"/>
        <v>0</v>
      </c>
      <c r="X189" s="46">
        <f t="shared" si="91"/>
        <v>0</v>
      </c>
      <c r="Y189" s="46">
        <f t="shared" si="91"/>
        <v>0</v>
      </c>
      <c r="Z189" s="46">
        <f t="shared" si="91"/>
        <v>0</v>
      </c>
      <c r="AA189" s="46"/>
      <c r="AB189" s="46"/>
      <c r="AC189" s="46"/>
      <c r="AD189" s="147"/>
      <c r="AE189" s="259"/>
      <c r="AF189" s="260"/>
      <c r="AG189" s="260"/>
      <c r="AH189" s="260"/>
      <c r="AI189" s="260"/>
      <c r="AJ189" s="258"/>
    </row>
    <row r="190" spans="1:36" x14ac:dyDescent="0.25">
      <c r="B190" s="31" t="s">
        <v>162</v>
      </c>
      <c r="C190" s="31" t="s">
        <v>0</v>
      </c>
      <c r="D190" s="31" t="s">
        <v>37</v>
      </c>
      <c r="E190" s="31"/>
      <c r="F190" s="31"/>
      <c r="G190" s="31"/>
      <c r="H190" s="32">
        <v>424604</v>
      </c>
      <c r="I190" s="32"/>
      <c r="J190" s="32">
        <f t="shared" si="64"/>
        <v>424604</v>
      </c>
      <c r="K190" s="32"/>
      <c r="L190" s="32">
        <f t="shared" si="65"/>
        <v>424604</v>
      </c>
      <c r="M190" s="32">
        <v>25000</v>
      </c>
      <c r="N190" s="32">
        <v>0</v>
      </c>
      <c r="O190" s="32"/>
      <c r="P190" s="32">
        <f t="shared" si="62"/>
        <v>25000</v>
      </c>
      <c r="Q190" s="32"/>
      <c r="R190" s="32">
        <f t="shared" si="63"/>
        <v>25000</v>
      </c>
      <c r="S190" s="32">
        <v>25000</v>
      </c>
      <c r="T190" s="32">
        <v>25000</v>
      </c>
      <c r="U190" s="32">
        <v>25000</v>
      </c>
      <c r="V190" s="32">
        <v>25000</v>
      </c>
      <c r="W190" s="32"/>
      <c r="X190" s="32"/>
      <c r="Y190" s="32"/>
      <c r="Z190" s="32"/>
      <c r="AA190" s="32"/>
      <c r="AB190" s="32"/>
      <c r="AC190" s="32"/>
      <c r="AD190" s="36"/>
      <c r="AE190" s="259"/>
      <c r="AF190" s="257"/>
      <c r="AG190" s="257"/>
      <c r="AH190" s="257"/>
      <c r="AI190" s="257"/>
      <c r="AJ190" s="258"/>
    </row>
    <row r="191" spans="1:36" s="1" customFormat="1" ht="30.6" x14ac:dyDescent="0.25">
      <c r="B191" s="31" t="s">
        <v>163</v>
      </c>
      <c r="C191" s="31" t="s">
        <v>0</v>
      </c>
      <c r="D191" s="31" t="s">
        <v>37</v>
      </c>
      <c r="E191" s="31" t="s">
        <v>509</v>
      </c>
      <c r="F191" s="31"/>
      <c r="G191" s="31"/>
      <c r="H191" s="32">
        <v>500000</v>
      </c>
      <c r="I191" s="32"/>
      <c r="J191" s="32">
        <f t="shared" si="64"/>
        <v>500000</v>
      </c>
      <c r="K191" s="237"/>
      <c r="L191" s="237">
        <f t="shared" si="65"/>
        <v>500000</v>
      </c>
      <c r="M191" s="237">
        <v>140800</v>
      </c>
      <c r="N191" s="237">
        <v>0</v>
      </c>
      <c r="O191" s="237"/>
      <c r="P191" s="237">
        <f t="shared" si="62"/>
        <v>140800</v>
      </c>
      <c r="Q191" s="237"/>
      <c r="R191" s="237">
        <f t="shared" si="63"/>
        <v>140800</v>
      </c>
      <c r="S191" s="237">
        <v>312400</v>
      </c>
      <c r="T191" s="32"/>
      <c r="U191" s="32"/>
      <c r="V191" s="32"/>
      <c r="W191" s="32"/>
      <c r="X191" s="32"/>
      <c r="Y191" s="32"/>
      <c r="Z191" s="32"/>
      <c r="AA191" s="32"/>
      <c r="AB191" s="32"/>
      <c r="AC191" s="32"/>
      <c r="AD191" s="36" t="s">
        <v>510</v>
      </c>
      <c r="AE191" s="259"/>
      <c r="AF191" s="260"/>
      <c r="AG191" s="260"/>
      <c r="AH191" s="260"/>
      <c r="AI191" s="260"/>
      <c r="AJ191" s="258"/>
    </row>
    <row r="192" spans="1:36" s="1" customFormat="1" ht="71.400000000000006" x14ac:dyDescent="0.25">
      <c r="B192" s="31" t="s">
        <v>164</v>
      </c>
      <c r="C192" s="31" t="s">
        <v>0</v>
      </c>
      <c r="D192" s="31" t="s">
        <v>37</v>
      </c>
      <c r="E192" s="31"/>
      <c r="F192" s="31"/>
      <c r="G192" s="31"/>
      <c r="H192" s="32">
        <v>644400</v>
      </c>
      <c r="I192" s="32"/>
      <c r="J192" s="32">
        <f t="shared" si="64"/>
        <v>644400</v>
      </c>
      <c r="K192" s="237">
        <v>336800</v>
      </c>
      <c r="L192" s="237">
        <f t="shared" si="65"/>
        <v>981200</v>
      </c>
      <c r="M192" s="237">
        <v>181100</v>
      </c>
      <c r="N192" s="237">
        <v>0</v>
      </c>
      <c r="O192" s="237">
        <v>108717</v>
      </c>
      <c r="P192" s="237">
        <f t="shared" si="62"/>
        <v>289817</v>
      </c>
      <c r="Q192" s="237"/>
      <c r="R192" s="237">
        <f t="shared" si="63"/>
        <v>289817</v>
      </c>
      <c r="S192" s="237">
        <v>200000</v>
      </c>
      <c r="T192" s="32">
        <v>210000</v>
      </c>
      <c r="U192" s="32">
        <v>100000</v>
      </c>
      <c r="V192" s="32">
        <v>95000</v>
      </c>
      <c r="W192" s="32"/>
      <c r="X192" s="32"/>
      <c r="Y192" s="32"/>
      <c r="Z192" s="32"/>
      <c r="AA192" s="32"/>
      <c r="AB192" s="32"/>
      <c r="AC192" s="32"/>
      <c r="AD192" s="36" t="s">
        <v>511</v>
      </c>
      <c r="AE192" s="259"/>
      <c r="AF192" s="260"/>
      <c r="AG192" s="260"/>
      <c r="AH192" s="260"/>
      <c r="AI192" s="260"/>
      <c r="AJ192" s="258"/>
    </row>
    <row r="193" spans="1:36" ht="102" x14ac:dyDescent="0.25">
      <c r="B193" s="31" t="s">
        <v>165</v>
      </c>
      <c r="C193" s="31" t="s">
        <v>0</v>
      </c>
      <c r="D193" s="54" t="s">
        <v>3</v>
      </c>
      <c r="E193" s="31"/>
      <c r="F193" s="31"/>
      <c r="G193" s="31"/>
      <c r="H193" s="78">
        <f>H194+H195</f>
        <v>6105000</v>
      </c>
      <c r="I193" s="32"/>
      <c r="J193" s="32">
        <f t="shared" si="64"/>
        <v>6105000</v>
      </c>
      <c r="K193" s="32"/>
      <c r="L193" s="32">
        <f t="shared" si="65"/>
        <v>6105000</v>
      </c>
      <c r="M193" s="78">
        <f>M194+M195</f>
        <v>155000</v>
      </c>
      <c r="N193" s="32">
        <v>250000</v>
      </c>
      <c r="O193" s="233">
        <f>SUM(O194:O195)</f>
        <v>390000</v>
      </c>
      <c r="P193" s="32">
        <f t="shared" si="62"/>
        <v>795000</v>
      </c>
      <c r="Q193" s="32"/>
      <c r="R193" s="32">
        <f t="shared" si="63"/>
        <v>795000</v>
      </c>
      <c r="S193" s="233">
        <f>SUM(S194:S195)</f>
        <v>360000</v>
      </c>
      <c r="T193" s="233">
        <f t="shared" ref="T193:Z193" si="92">SUM(T194:T195)</f>
        <v>1500000</v>
      </c>
      <c r="U193" s="233">
        <f t="shared" si="92"/>
        <v>2000000</v>
      </c>
      <c r="V193" s="233">
        <f t="shared" si="92"/>
        <v>1000000</v>
      </c>
      <c r="W193" s="233">
        <f t="shared" si="92"/>
        <v>0</v>
      </c>
      <c r="X193" s="233">
        <f t="shared" si="92"/>
        <v>0</v>
      </c>
      <c r="Y193" s="233">
        <f t="shared" si="92"/>
        <v>0</v>
      </c>
      <c r="Z193" s="233">
        <f t="shared" si="92"/>
        <v>0</v>
      </c>
      <c r="AA193" s="32"/>
      <c r="AB193" s="32"/>
      <c r="AC193" s="32"/>
      <c r="AD193" s="36" t="s">
        <v>512</v>
      </c>
      <c r="AE193" s="259"/>
      <c r="AF193" s="257"/>
      <c r="AG193" s="257"/>
      <c r="AH193" s="257"/>
      <c r="AI193" s="257"/>
      <c r="AJ193" s="258"/>
    </row>
    <row r="194" spans="1:36" x14ac:dyDescent="0.25">
      <c r="B194" s="31"/>
      <c r="C194" s="31"/>
      <c r="D194" s="232" t="s">
        <v>37</v>
      </c>
      <c r="E194" s="108"/>
      <c r="F194" s="108"/>
      <c r="G194" s="108"/>
      <c r="H194" s="108">
        <v>6105000</v>
      </c>
      <c r="I194" s="108"/>
      <c r="J194" s="108">
        <f t="shared" si="64"/>
        <v>6105000</v>
      </c>
      <c r="K194" s="108"/>
      <c r="L194" s="108">
        <f t="shared" si="65"/>
        <v>6105000</v>
      </c>
      <c r="M194" s="108">
        <v>155000</v>
      </c>
      <c r="N194" s="108"/>
      <c r="O194" s="108">
        <v>155000</v>
      </c>
      <c r="P194" s="108">
        <f t="shared" si="62"/>
        <v>310000</v>
      </c>
      <c r="Q194" s="108"/>
      <c r="R194" s="108">
        <f t="shared" si="63"/>
        <v>310000</v>
      </c>
      <c r="S194" s="108">
        <v>360000</v>
      </c>
      <c r="T194" s="108">
        <v>1500000</v>
      </c>
      <c r="U194" s="108">
        <v>2000000</v>
      </c>
      <c r="V194" s="108">
        <v>1000000</v>
      </c>
      <c r="W194" s="108"/>
      <c r="X194" s="108"/>
      <c r="Y194" s="108"/>
      <c r="Z194" s="108"/>
      <c r="AA194" s="108"/>
      <c r="AB194" s="108"/>
      <c r="AC194" s="108"/>
      <c r="AD194" s="36"/>
      <c r="AE194" s="259"/>
      <c r="AF194" s="257"/>
      <c r="AG194" s="257"/>
      <c r="AH194" s="257"/>
      <c r="AI194" s="257"/>
      <c r="AJ194" s="258"/>
    </row>
    <row r="195" spans="1:36" x14ac:dyDescent="0.25">
      <c r="B195" s="31"/>
      <c r="C195" s="31"/>
      <c r="D195" s="232" t="s">
        <v>36</v>
      </c>
      <c r="E195" s="108"/>
      <c r="F195" s="108"/>
      <c r="G195" s="108"/>
      <c r="H195" s="108"/>
      <c r="I195" s="108"/>
      <c r="J195" s="108">
        <f t="shared" si="64"/>
        <v>0</v>
      </c>
      <c r="K195" s="108"/>
      <c r="L195" s="108">
        <f t="shared" si="65"/>
        <v>0</v>
      </c>
      <c r="M195" s="108"/>
      <c r="N195" s="108"/>
      <c r="O195" s="108">
        <v>235000</v>
      </c>
      <c r="P195" s="108">
        <f t="shared" si="62"/>
        <v>235000</v>
      </c>
      <c r="Q195" s="108"/>
      <c r="R195" s="108">
        <f t="shared" si="63"/>
        <v>235000</v>
      </c>
      <c r="S195" s="108"/>
      <c r="T195" s="108"/>
      <c r="U195" s="108"/>
      <c r="V195" s="108"/>
      <c r="W195" s="108"/>
      <c r="X195" s="108"/>
      <c r="Y195" s="108"/>
      <c r="Z195" s="108"/>
      <c r="AA195" s="108"/>
      <c r="AB195" s="108"/>
      <c r="AC195" s="108"/>
      <c r="AD195" s="36"/>
      <c r="AE195" s="259"/>
      <c r="AF195" s="257"/>
      <c r="AG195" s="257"/>
      <c r="AH195" s="257"/>
      <c r="AI195" s="257"/>
      <c r="AJ195" s="258"/>
    </row>
    <row r="196" spans="1:36" ht="26.4" x14ac:dyDescent="0.25">
      <c r="B196" s="223" t="s">
        <v>543</v>
      </c>
      <c r="C196" s="210" t="s">
        <v>0</v>
      </c>
      <c r="D196" s="210" t="s">
        <v>37</v>
      </c>
      <c r="E196" s="31"/>
      <c r="F196" s="31"/>
      <c r="G196" s="31"/>
      <c r="H196" s="32"/>
      <c r="I196" s="32">
        <v>5688000</v>
      </c>
      <c r="J196" s="32">
        <f t="shared" si="64"/>
        <v>5688000</v>
      </c>
      <c r="K196" s="32"/>
      <c r="L196" s="32">
        <f t="shared" si="65"/>
        <v>5688000</v>
      </c>
      <c r="M196" s="32"/>
      <c r="N196" s="32">
        <v>5688000</v>
      </c>
      <c r="O196" s="32"/>
      <c r="P196" s="32">
        <f t="shared" si="62"/>
        <v>5688000</v>
      </c>
      <c r="Q196" s="32"/>
      <c r="R196" s="32">
        <f t="shared" si="63"/>
        <v>5688000</v>
      </c>
      <c r="S196" s="32"/>
      <c r="T196" s="32"/>
      <c r="U196" s="32"/>
      <c r="V196" s="32"/>
      <c r="W196" s="32"/>
      <c r="X196" s="32"/>
      <c r="Y196" s="32"/>
      <c r="Z196" s="32"/>
      <c r="AA196" s="32"/>
      <c r="AB196" s="32"/>
      <c r="AC196" s="32"/>
      <c r="AD196" s="36"/>
      <c r="AE196" s="259"/>
      <c r="AF196" s="257"/>
      <c r="AG196" s="257"/>
      <c r="AH196" s="257"/>
      <c r="AI196" s="257"/>
      <c r="AJ196" s="258"/>
    </row>
    <row r="197" spans="1:36" x14ac:dyDescent="0.25">
      <c r="B197" s="45" t="s">
        <v>166</v>
      </c>
      <c r="C197" s="45" t="s">
        <v>3</v>
      </c>
      <c r="D197" s="45"/>
      <c r="E197" s="45"/>
      <c r="F197" s="45"/>
      <c r="G197" s="45"/>
      <c r="H197" s="46">
        <f>SUM(H198,H201:H207)</f>
        <v>113204000</v>
      </c>
      <c r="I197" s="46">
        <f>SUM(I198,I201:I207)</f>
        <v>-15856557</v>
      </c>
      <c r="J197" s="46">
        <f t="shared" si="64"/>
        <v>97347443</v>
      </c>
      <c r="K197" s="46">
        <f>K198+K202+K203+K201</f>
        <v>6152260</v>
      </c>
      <c r="L197" s="46">
        <f t="shared" si="65"/>
        <v>103499703</v>
      </c>
      <c r="M197" s="46">
        <f>M198+M202+M203+M201</f>
        <v>42788551</v>
      </c>
      <c r="N197" s="46">
        <f>SUM(N198,N201:N207)</f>
        <v>3275349</v>
      </c>
      <c r="O197" s="46">
        <f>SUM(O198,O201:O207)</f>
        <v>200000</v>
      </c>
      <c r="P197" s="46">
        <f t="shared" si="62"/>
        <v>46263900</v>
      </c>
      <c r="Q197" s="46"/>
      <c r="R197" s="46">
        <f t="shared" si="63"/>
        <v>46263900</v>
      </c>
      <c r="S197" s="46">
        <f t="shared" ref="S197:V197" si="93">SUM(S198,S201:S207)</f>
        <v>2130000</v>
      </c>
      <c r="T197" s="46">
        <f t="shared" si="93"/>
        <v>6773722</v>
      </c>
      <c r="U197" s="46">
        <f t="shared" si="93"/>
        <v>16036221</v>
      </c>
      <c r="V197" s="46">
        <f t="shared" si="93"/>
        <v>20280000</v>
      </c>
      <c r="W197" s="46">
        <f t="shared" ref="W197" si="94">SUM(W198,W201:W207)</f>
        <v>0</v>
      </c>
      <c r="X197" s="46">
        <f t="shared" ref="X197" si="95">SUM(X198,X201:X207)</f>
        <v>0</v>
      </c>
      <c r="Y197" s="46">
        <f t="shared" ref="Y197" si="96">SUM(Y198,Y201:Y207)</f>
        <v>6952260</v>
      </c>
      <c r="Z197" s="46">
        <f t="shared" ref="Z197" si="97">SUM(Z198,Z201:Z207)</f>
        <v>0</v>
      </c>
      <c r="AA197" s="46"/>
      <c r="AB197" s="46"/>
      <c r="AC197" s="46"/>
      <c r="AD197" s="147"/>
      <c r="AE197" s="259"/>
      <c r="AF197" s="257"/>
      <c r="AG197" s="257"/>
      <c r="AH197" s="257"/>
      <c r="AI197" s="257"/>
      <c r="AJ197" s="258"/>
    </row>
    <row r="198" spans="1:36" s="1" customFormat="1" ht="26.4" x14ac:dyDescent="0.25">
      <c r="A198" s="73">
        <f>M198</f>
        <v>1208551</v>
      </c>
      <c r="B198" s="246" t="s">
        <v>167</v>
      </c>
      <c r="C198" s="246" t="s">
        <v>3</v>
      </c>
      <c r="D198" s="246" t="s">
        <v>168</v>
      </c>
      <c r="E198" s="246"/>
      <c r="F198" s="246"/>
      <c r="G198" s="246"/>
      <c r="H198" s="247">
        <f>H199+H200</f>
        <v>71024000</v>
      </c>
      <c r="I198" s="247">
        <f>I199+I200</f>
        <v>-18814057</v>
      </c>
      <c r="J198" s="247">
        <f t="shared" si="64"/>
        <v>52209943</v>
      </c>
      <c r="K198" s="247"/>
      <c r="L198" s="247">
        <f t="shared" si="65"/>
        <v>52209943</v>
      </c>
      <c r="M198" s="247">
        <f>M199+M200</f>
        <v>1208551</v>
      </c>
      <c r="N198" s="247">
        <v>1431449</v>
      </c>
      <c r="O198" s="247"/>
      <c r="P198" s="247">
        <f t="shared" ref="P198:P261" si="98">M198+N198+O198</f>
        <v>2640000</v>
      </c>
      <c r="Q198" s="247"/>
      <c r="R198" s="247">
        <f t="shared" si="63"/>
        <v>2640000</v>
      </c>
      <c r="S198" s="247">
        <v>1650000</v>
      </c>
      <c r="T198" s="247">
        <v>6293722</v>
      </c>
      <c r="U198" s="247">
        <v>15556221</v>
      </c>
      <c r="V198" s="247">
        <v>19800000</v>
      </c>
      <c r="W198" s="247"/>
      <c r="X198" s="247"/>
      <c r="Y198" s="247"/>
      <c r="Z198" s="247"/>
      <c r="AA198" s="247"/>
      <c r="AB198" s="247"/>
      <c r="AC198" s="247"/>
      <c r="AD198" s="248" t="s">
        <v>443</v>
      </c>
      <c r="AE198" s="259"/>
      <c r="AF198" s="260"/>
      <c r="AG198" s="260"/>
      <c r="AH198" s="260"/>
      <c r="AI198" s="260"/>
      <c r="AJ198" s="258"/>
    </row>
    <row r="199" spans="1:36" s="1" customFormat="1" ht="20.399999999999999" x14ac:dyDescent="0.25">
      <c r="B199" s="246"/>
      <c r="C199" s="246" t="s">
        <v>0</v>
      </c>
      <c r="D199" s="246"/>
      <c r="E199" s="246"/>
      <c r="F199" s="246"/>
      <c r="G199" s="246"/>
      <c r="H199" s="247">
        <v>12625600</v>
      </c>
      <c r="I199" s="247">
        <v>-3344486</v>
      </c>
      <c r="J199" s="247">
        <f t="shared" si="64"/>
        <v>9281114</v>
      </c>
      <c r="K199" s="247"/>
      <c r="L199" s="247">
        <f t="shared" si="65"/>
        <v>9281114</v>
      </c>
      <c r="M199" s="247">
        <v>181283</v>
      </c>
      <c r="N199" s="247">
        <v>2458717</v>
      </c>
      <c r="O199" s="247"/>
      <c r="P199" s="247">
        <f t="shared" si="98"/>
        <v>2640000</v>
      </c>
      <c r="Q199" s="247"/>
      <c r="R199" s="247">
        <f t="shared" ref="R199:R262" si="99">P199+Q199</f>
        <v>2640000</v>
      </c>
      <c r="S199" s="247">
        <f>S198-S200</f>
        <v>247500</v>
      </c>
      <c r="T199" s="247">
        <f t="shared" ref="T199:V199" si="100">T198-T200</f>
        <v>944060</v>
      </c>
      <c r="U199" s="247">
        <f t="shared" si="100"/>
        <v>2333438</v>
      </c>
      <c r="V199" s="247">
        <f t="shared" si="100"/>
        <v>2970000</v>
      </c>
      <c r="W199" s="247"/>
      <c r="X199" s="247"/>
      <c r="Y199" s="247"/>
      <c r="Z199" s="247"/>
      <c r="AA199" s="247"/>
      <c r="AB199" s="247"/>
      <c r="AC199" s="247"/>
      <c r="AD199" s="248" t="s">
        <v>444</v>
      </c>
      <c r="AE199" s="259"/>
      <c r="AF199" s="260"/>
      <c r="AG199" s="260"/>
      <c r="AH199" s="260"/>
      <c r="AI199" s="260"/>
      <c r="AJ199" s="258"/>
    </row>
    <row r="200" spans="1:36" s="1" customFormat="1" ht="20.399999999999999" x14ac:dyDescent="0.25">
      <c r="B200" s="246"/>
      <c r="C200" s="246" t="s">
        <v>33</v>
      </c>
      <c r="D200" s="246"/>
      <c r="E200" s="246"/>
      <c r="F200" s="246"/>
      <c r="G200" s="246"/>
      <c r="H200" s="247">
        <v>58398400</v>
      </c>
      <c r="I200" s="247">
        <v>-15469571</v>
      </c>
      <c r="J200" s="247">
        <f t="shared" si="64"/>
        <v>42928829</v>
      </c>
      <c r="K200" s="249"/>
      <c r="L200" s="247">
        <f t="shared" si="65"/>
        <v>42928829</v>
      </c>
      <c r="M200" s="247">
        <v>1027268</v>
      </c>
      <c r="N200" s="249">
        <v>-1027268</v>
      </c>
      <c r="O200" s="249"/>
      <c r="P200" s="247">
        <f t="shared" si="98"/>
        <v>0</v>
      </c>
      <c r="Q200" s="247"/>
      <c r="R200" s="247">
        <f t="shared" si="99"/>
        <v>0</v>
      </c>
      <c r="S200" s="249">
        <v>1402500</v>
      </c>
      <c r="T200" s="249">
        <v>5349662</v>
      </c>
      <c r="U200" s="249">
        <v>13222783</v>
      </c>
      <c r="V200" s="249">
        <v>16830000</v>
      </c>
      <c r="W200" s="247"/>
      <c r="X200" s="247"/>
      <c r="Y200" s="247"/>
      <c r="Z200" s="247"/>
      <c r="AA200" s="247"/>
      <c r="AB200" s="247"/>
      <c r="AC200" s="247"/>
      <c r="AD200" s="248" t="s">
        <v>444</v>
      </c>
      <c r="AE200" s="259"/>
      <c r="AF200" s="260"/>
      <c r="AG200" s="260"/>
      <c r="AH200" s="260"/>
      <c r="AI200" s="260"/>
      <c r="AJ200" s="258"/>
    </row>
    <row r="201" spans="1:36" s="1" customFormat="1" ht="30.6" x14ac:dyDescent="0.25">
      <c r="A201" s="73">
        <f>M201</f>
        <v>41200000</v>
      </c>
      <c r="B201" s="246" t="s">
        <v>169</v>
      </c>
      <c r="C201" s="246" t="s">
        <v>0</v>
      </c>
      <c r="D201" s="246" t="s">
        <v>168</v>
      </c>
      <c r="E201" s="246"/>
      <c r="F201" s="246"/>
      <c r="G201" s="246"/>
      <c r="H201" s="247">
        <v>41200000</v>
      </c>
      <c r="I201" s="247">
        <v>1305000</v>
      </c>
      <c r="J201" s="247">
        <f t="shared" si="64"/>
        <v>42505000</v>
      </c>
      <c r="K201" s="247"/>
      <c r="L201" s="247">
        <f t="shared" si="65"/>
        <v>42505000</v>
      </c>
      <c r="M201" s="247">
        <v>41200000</v>
      </c>
      <c r="N201" s="247">
        <v>1305000</v>
      </c>
      <c r="O201" s="247"/>
      <c r="P201" s="247">
        <f t="shared" si="98"/>
        <v>42505000</v>
      </c>
      <c r="Q201" s="247"/>
      <c r="R201" s="247">
        <f t="shared" si="99"/>
        <v>42505000</v>
      </c>
      <c r="S201" s="247"/>
      <c r="T201" s="247"/>
      <c r="U201" s="247"/>
      <c r="V201" s="247"/>
      <c r="W201" s="247"/>
      <c r="X201" s="247"/>
      <c r="Y201" s="247"/>
      <c r="Z201" s="247"/>
      <c r="AA201" s="247"/>
      <c r="AB201" s="247"/>
      <c r="AC201" s="247"/>
      <c r="AD201" s="248" t="s">
        <v>445</v>
      </c>
      <c r="AE201" s="259"/>
      <c r="AF201" s="260"/>
      <c r="AG201" s="260"/>
      <c r="AH201" s="260"/>
      <c r="AI201" s="260"/>
      <c r="AJ201" s="258"/>
    </row>
    <row r="202" spans="1:36" ht="40.799999999999997" x14ac:dyDescent="0.25">
      <c r="B202" s="250" t="s">
        <v>446</v>
      </c>
      <c r="C202" s="250" t="s">
        <v>0</v>
      </c>
      <c r="D202" s="250" t="s">
        <v>168</v>
      </c>
      <c r="E202" s="250"/>
      <c r="F202" s="250"/>
      <c r="G202" s="250"/>
      <c r="H202" s="237">
        <v>800000</v>
      </c>
      <c r="I202" s="237">
        <v>0</v>
      </c>
      <c r="J202" s="237">
        <f t="shared" si="64"/>
        <v>800000</v>
      </c>
      <c r="K202" s="237">
        <v>400000</v>
      </c>
      <c r="L202" s="237">
        <f t="shared" si="65"/>
        <v>1200000</v>
      </c>
      <c r="M202" s="237">
        <v>200000</v>
      </c>
      <c r="N202" s="237">
        <v>-100100</v>
      </c>
      <c r="O202" s="237">
        <v>200000</v>
      </c>
      <c r="P202" s="237">
        <f t="shared" si="98"/>
        <v>299900</v>
      </c>
      <c r="Q202" s="237"/>
      <c r="R202" s="237">
        <f t="shared" si="99"/>
        <v>299900</v>
      </c>
      <c r="S202" s="237">
        <v>300000</v>
      </c>
      <c r="T202" s="237">
        <v>300000</v>
      </c>
      <c r="U202" s="237">
        <v>300000</v>
      </c>
      <c r="V202" s="237">
        <v>300000</v>
      </c>
      <c r="W202" s="237"/>
      <c r="X202" s="237"/>
      <c r="Y202" s="237">
        <v>1200000</v>
      </c>
      <c r="Z202" s="237"/>
      <c r="AA202" s="237"/>
      <c r="AB202" s="237"/>
      <c r="AC202" s="237">
        <v>1200000</v>
      </c>
      <c r="AD202" s="238" t="s">
        <v>513</v>
      </c>
      <c r="AE202" s="259"/>
      <c r="AF202" s="257"/>
      <c r="AG202" s="257"/>
      <c r="AH202" s="257"/>
      <c r="AI202" s="257"/>
      <c r="AJ202" s="258"/>
    </row>
    <row r="203" spans="1:36" ht="61.2" x14ac:dyDescent="0.25">
      <c r="B203" s="246" t="s">
        <v>170</v>
      </c>
      <c r="C203" s="246" t="s">
        <v>0</v>
      </c>
      <c r="D203" s="246" t="s">
        <v>168</v>
      </c>
      <c r="E203" s="246"/>
      <c r="F203" s="246"/>
      <c r="G203" s="246"/>
      <c r="H203" s="247">
        <v>180000</v>
      </c>
      <c r="I203" s="247">
        <v>0</v>
      </c>
      <c r="J203" s="247">
        <f t="shared" si="64"/>
        <v>180000</v>
      </c>
      <c r="K203" s="247">
        <v>5752260</v>
      </c>
      <c r="L203" s="247">
        <f t="shared" si="65"/>
        <v>5932260</v>
      </c>
      <c r="M203" s="247">
        <v>180000</v>
      </c>
      <c r="N203" s="247">
        <v>0</v>
      </c>
      <c r="O203" s="247"/>
      <c r="P203" s="247">
        <f t="shared" si="98"/>
        <v>180000</v>
      </c>
      <c r="Q203" s="247"/>
      <c r="R203" s="247">
        <f t="shared" si="99"/>
        <v>180000</v>
      </c>
      <c r="S203" s="247">
        <v>180000</v>
      </c>
      <c r="T203" s="247">
        <v>180000</v>
      </c>
      <c r="U203" s="247">
        <v>180000</v>
      </c>
      <c r="V203" s="247">
        <v>180000</v>
      </c>
      <c r="W203" s="247"/>
      <c r="X203" s="247"/>
      <c r="Y203" s="247">
        <v>5752260</v>
      </c>
      <c r="Z203" s="247"/>
      <c r="AA203" s="247"/>
      <c r="AB203" s="247"/>
      <c r="AC203" s="247">
        <v>5752260</v>
      </c>
      <c r="AD203" s="248" t="s">
        <v>447</v>
      </c>
      <c r="AE203" s="269"/>
      <c r="AF203" s="257"/>
      <c r="AG203" s="257"/>
      <c r="AH203" s="257"/>
      <c r="AI203" s="257"/>
      <c r="AJ203" s="258"/>
    </row>
    <row r="204" spans="1:36" ht="26.4" x14ac:dyDescent="0.25">
      <c r="B204" s="246" t="s">
        <v>544</v>
      </c>
      <c r="C204" s="246" t="s">
        <v>0</v>
      </c>
      <c r="D204" s="246" t="s">
        <v>168</v>
      </c>
      <c r="E204" s="246"/>
      <c r="F204" s="246"/>
      <c r="G204" s="246"/>
      <c r="H204" s="247"/>
      <c r="I204" s="247">
        <v>423500</v>
      </c>
      <c r="J204" s="247">
        <f t="shared" si="64"/>
        <v>423500</v>
      </c>
      <c r="K204" s="247"/>
      <c r="L204" s="247">
        <f t="shared" si="65"/>
        <v>423500</v>
      </c>
      <c r="M204" s="247"/>
      <c r="N204" s="247">
        <v>70000</v>
      </c>
      <c r="O204" s="247"/>
      <c r="P204" s="247">
        <f t="shared" si="98"/>
        <v>70000</v>
      </c>
      <c r="Q204" s="247"/>
      <c r="R204" s="247">
        <f t="shared" si="99"/>
        <v>70000</v>
      </c>
      <c r="S204" s="247"/>
      <c r="T204" s="247"/>
      <c r="U204" s="247"/>
      <c r="V204" s="247"/>
      <c r="W204" s="247"/>
      <c r="X204" s="247"/>
      <c r="Y204" s="247"/>
      <c r="Z204" s="247"/>
      <c r="AA204" s="247"/>
      <c r="AB204" s="247"/>
      <c r="AC204" s="247"/>
      <c r="AD204" s="248"/>
      <c r="AE204" s="269"/>
      <c r="AF204" s="257"/>
      <c r="AG204" s="257"/>
      <c r="AH204" s="257"/>
      <c r="AI204" s="257"/>
      <c r="AJ204" s="258"/>
    </row>
    <row r="205" spans="1:36" ht="26.4" x14ac:dyDescent="0.25">
      <c r="B205" s="246" t="s">
        <v>545</v>
      </c>
      <c r="C205" s="246" t="s">
        <v>0</v>
      </c>
      <c r="D205" s="246" t="s">
        <v>168</v>
      </c>
      <c r="E205" s="246"/>
      <c r="F205" s="246"/>
      <c r="G205" s="246"/>
      <c r="H205" s="247"/>
      <c r="I205" s="247">
        <v>120000</v>
      </c>
      <c r="J205" s="247">
        <f t="shared" si="64"/>
        <v>120000</v>
      </c>
      <c r="K205" s="247"/>
      <c r="L205" s="247">
        <f t="shared" si="65"/>
        <v>120000</v>
      </c>
      <c r="M205" s="247"/>
      <c r="N205" s="247">
        <v>120000</v>
      </c>
      <c r="O205" s="247"/>
      <c r="P205" s="247">
        <f t="shared" si="98"/>
        <v>120000</v>
      </c>
      <c r="Q205" s="247"/>
      <c r="R205" s="247">
        <f t="shared" si="99"/>
        <v>120000</v>
      </c>
      <c r="S205" s="247"/>
      <c r="T205" s="247"/>
      <c r="U205" s="247"/>
      <c r="V205" s="247"/>
      <c r="W205" s="247"/>
      <c r="X205" s="247"/>
      <c r="Y205" s="247"/>
      <c r="Z205" s="247"/>
      <c r="AA205" s="247"/>
      <c r="AB205" s="247"/>
      <c r="AC205" s="247"/>
      <c r="AD205" s="248"/>
      <c r="AE205" s="269"/>
      <c r="AF205" s="257"/>
      <c r="AG205" s="257"/>
      <c r="AH205" s="257"/>
      <c r="AI205" s="257"/>
      <c r="AJ205" s="258"/>
    </row>
    <row r="206" spans="1:36" x14ac:dyDescent="0.25">
      <c r="B206" s="246" t="s">
        <v>546</v>
      </c>
      <c r="C206" s="246" t="s">
        <v>0</v>
      </c>
      <c r="D206" s="246" t="s">
        <v>168</v>
      </c>
      <c r="E206" s="246"/>
      <c r="F206" s="246"/>
      <c r="G206" s="246"/>
      <c r="H206" s="247"/>
      <c r="I206" s="247">
        <v>0</v>
      </c>
      <c r="J206" s="247">
        <f t="shared" si="64"/>
        <v>0</v>
      </c>
      <c r="K206" s="247"/>
      <c r="L206" s="247">
        <f t="shared" si="65"/>
        <v>0</v>
      </c>
      <c r="M206" s="247"/>
      <c r="N206" s="247">
        <v>0</v>
      </c>
      <c r="O206" s="247"/>
      <c r="P206" s="247">
        <f t="shared" si="98"/>
        <v>0</v>
      </c>
      <c r="Q206" s="247"/>
      <c r="R206" s="247">
        <f t="shared" si="99"/>
        <v>0</v>
      </c>
      <c r="S206" s="247"/>
      <c r="T206" s="247"/>
      <c r="U206" s="247"/>
      <c r="V206" s="247"/>
      <c r="W206" s="247"/>
      <c r="X206" s="247"/>
      <c r="Y206" s="247"/>
      <c r="Z206" s="247"/>
      <c r="AA206" s="247"/>
      <c r="AB206" s="247"/>
      <c r="AC206" s="247"/>
      <c r="AD206" s="248"/>
      <c r="AE206" s="269"/>
      <c r="AF206" s="257"/>
      <c r="AG206" s="257"/>
      <c r="AH206" s="257"/>
      <c r="AI206" s="257"/>
      <c r="AJ206" s="258"/>
    </row>
    <row r="207" spans="1:36" x14ac:dyDescent="0.25">
      <c r="B207" s="246" t="s">
        <v>547</v>
      </c>
      <c r="C207" s="246" t="s">
        <v>0</v>
      </c>
      <c r="D207" s="246" t="s">
        <v>168</v>
      </c>
      <c r="E207" s="246"/>
      <c r="F207" s="246"/>
      <c r="G207" s="246"/>
      <c r="H207" s="247"/>
      <c r="I207" s="247">
        <v>1109000</v>
      </c>
      <c r="J207" s="247">
        <f t="shared" si="64"/>
        <v>1109000</v>
      </c>
      <c r="K207" s="247"/>
      <c r="L207" s="247">
        <f t="shared" si="65"/>
        <v>1109000</v>
      </c>
      <c r="M207" s="247"/>
      <c r="N207" s="247">
        <v>449000</v>
      </c>
      <c r="O207" s="247"/>
      <c r="P207" s="247">
        <f t="shared" si="98"/>
        <v>449000</v>
      </c>
      <c r="Q207" s="247"/>
      <c r="R207" s="247">
        <f t="shared" si="99"/>
        <v>449000</v>
      </c>
      <c r="S207" s="247"/>
      <c r="T207" s="247"/>
      <c r="U207" s="247"/>
      <c r="V207" s="247"/>
      <c r="W207" s="247"/>
      <c r="X207" s="247"/>
      <c r="Y207" s="247"/>
      <c r="Z207" s="247"/>
      <c r="AA207" s="247"/>
      <c r="AB207" s="247"/>
      <c r="AC207" s="247"/>
      <c r="AD207" s="248"/>
      <c r="AE207" s="269"/>
      <c r="AF207" s="257"/>
      <c r="AG207" s="257"/>
      <c r="AH207" s="257"/>
      <c r="AI207" s="257"/>
      <c r="AJ207" s="258"/>
    </row>
    <row r="208" spans="1:36" x14ac:dyDescent="0.25">
      <c r="B208" s="45" t="s">
        <v>171</v>
      </c>
      <c r="C208" s="45" t="s">
        <v>3</v>
      </c>
      <c r="D208" s="45"/>
      <c r="E208" s="45"/>
      <c r="F208" s="45"/>
      <c r="G208" s="45"/>
      <c r="H208" s="46">
        <f>H209+H273+H255+H270+H281+H282+H285+H286+H269</f>
        <v>365681271</v>
      </c>
      <c r="I208" s="46">
        <f>I209+I273+I255+I270+I281+I282+I285+I286+I269</f>
        <v>5758391</v>
      </c>
      <c r="J208" s="46">
        <f t="shared" si="64"/>
        <v>371439662</v>
      </c>
      <c r="K208" s="46">
        <f>K209+K273+K255+K270+K281+K282+K285+K286+K269</f>
        <v>23850000</v>
      </c>
      <c r="L208" s="46">
        <f t="shared" si="65"/>
        <v>395289662</v>
      </c>
      <c r="M208" s="46">
        <f>M209+M273+M255+M270+M281+M282+M285+M286+M269</f>
        <v>67927217</v>
      </c>
      <c r="N208" s="46">
        <f>N209+N273+N255+N270+N281+N282+N285+N286+N269</f>
        <v>-6149158</v>
      </c>
      <c r="O208" s="46">
        <f>O209+O273+O255+O270+O281+O282+O285+O286+O269</f>
        <v>3950827</v>
      </c>
      <c r="P208" s="46">
        <f t="shared" si="98"/>
        <v>65728886</v>
      </c>
      <c r="Q208" s="46"/>
      <c r="R208" s="46">
        <f t="shared" si="99"/>
        <v>65728886</v>
      </c>
      <c r="S208" s="46">
        <f t="shared" ref="S208:V208" si="101">S209+S273+S255+S270+S281+S282+S285+S286+S269</f>
        <v>50870852.849749997</v>
      </c>
      <c r="T208" s="46">
        <f t="shared" si="101"/>
        <v>50553571.399000004</v>
      </c>
      <c r="U208" s="46">
        <f t="shared" si="101"/>
        <v>43975714.248750001</v>
      </c>
      <c r="V208" s="46">
        <f t="shared" si="101"/>
        <v>36451673</v>
      </c>
      <c r="W208" s="46">
        <f t="shared" ref="W208" si="102">W209+W273+W255+W270+W281+W282+W285+W286+W269</f>
        <v>1570000</v>
      </c>
      <c r="X208" s="46">
        <f t="shared" ref="X208" si="103">X209+X273+X255+X270+X281+X282+X285+X286+X269</f>
        <v>62130000</v>
      </c>
      <c r="Y208" s="46">
        <f t="shared" ref="Y208" si="104">Y209+Y273+Y255+Y270+Y281+Y282+Y285+Y286+Y269</f>
        <v>1000000</v>
      </c>
      <c r="Z208" s="46">
        <f t="shared" ref="Z208" si="105">Z209+Z273+Z255+Z270+Z281+Z282+Z285+Z286+Z269</f>
        <v>950000</v>
      </c>
      <c r="AA208" s="46"/>
      <c r="AB208" s="46"/>
      <c r="AC208" s="46"/>
      <c r="AD208" s="147"/>
      <c r="AE208" s="259"/>
      <c r="AF208" s="257"/>
      <c r="AG208" s="257"/>
      <c r="AH208" s="257"/>
      <c r="AI208" s="257"/>
      <c r="AJ208" s="258"/>
    </row>
    <row r="209" spans="2:36" x14ac:dyDescent="0.25">
      <c r="B209" s="79" t="s">
        <v>172</v>
      </c>
      <c r="C209" s="79" t="s">
        <v>3</v>
      </c>
      <c r="D209" s="79"/>
      <c r="E209" s="79"/>
      <c r="F209" s="79"/>
      <c r="G209" s="79"/>
      <c r="H209" s="80">
        <f>H211+H231</f>
        <v>315228386</v>
      </c>
      <c r="I209" s="80">
        <f>I211+I231</f>
        <v>5144680</v>
      </c>
      <c r="J209" s="80">
        <f t="shared" si="64"/>
        <v>320373066</v>
      </c>
      <c r="K209" s="80">
        <f>K211+K231</f>
        <v>23550000</v>
      </c>
      <c r="L209" s="80">
        <f t="shared" si="65"/>
        <v>343923066</v>
      </c>
      <c r="M209" s="80">
        <f t="shared" ref="M209:O210" si="106">M211+M231</f>
        <v>51236206</v>
      </c>
      <c r="N209" s="80">
        <f t="shared" si="106"/>
        <v>-4569258</v>
      </c>
      <c r="O209" s="80">
        <f t="shared" si="106"/>
        <v>2521366</v>
      </c>
      <c r="P209" s="80">
        <f t="shared" si="98"/>
        <v>49188314</v>
      </c>
      <c r="Q209" s="80"/>
      <c r="R209" s="80">
        <f t="shared" si="99"/>
        <v>49188314</v>
      </c>
      <c r="S209" s="80">
        <f t="shared" ref="S209:V209" si="107">S211+S231</f>
        <v>42605852.849749997</v>
      </c>
      <c r="T209" s="80">
        <f t="shared" si="107"/>
        <v>41788571.399000004</v>
      </c>
      <c r="U209" s="80">
        <f t="shared" si="107"/>
        <v>36810714.248750001</v>
      </c>
      <c r="V209" s="80">
        <f t="shared" si="107"/>
        <v>29486673</v>
      </c>
      <c r="W209" s="80">
        <f t="shared" ref="W209:Z209" si="108">W211+W231</f>
        <v>900000</v>
      </c>
      <c r="X209" s="80">
        <f t="shared" si="108"/>
        <v>56600000</v>
      </c>
      <c r="Y209" s="80">
        <f t="shared" si="108"/>
        <v>0</v>
      </c>
      <c r="Z209" s="80">
        <f t="shared" si="108"/>
        <v>950000</v>
      </c>
      <c r="AA209" s="80"/>
      <c r="AB209" s="80"/>
      <c r="AC209" s="80"/>
      <c r="AD209" s="175"/>
      <c r="AE209" s="259"/>
      <c r="AF209" s="257"/>
      <c r="AG209" s="257"/>
      <c r="AH209" s="257"/>
      <c r="AI209" s="257"/>
      <c r="AJ209" s="258"/>
    </row>
    <row r="210" spans="2:36" x14ac:dyDescent="0.25">
      <c r="B210" s="81" t="s">
        <v>173</v>
      </c>
      <c r="C210" s="79"/>
      <c r="D210" s="79"/>
      <c r="E210" s="79"/>
      <c r="F210" s="79"/>
      <c r="G210" s="79"/>
      <c r="H210" s="80">
        <f>H212+H232</f>
        <v>267982114</v>
      </c>
      <c r="I210" s="80">
        <f>I212+I232</f>
        <v>4344680</v>
      </c>
      <c r="J210" s="80">
        <f t="shared" si="64"/>
        <v>272326794</v>
      </c>
      <c r="K210" s="80">
        <f>K212+K232</f>
        <v>23550000</v>
      </c>
      <c r="L210" s="80">
        <f t="shared" si="65"/>
        <v>295876794</v>
      </c>
      <c r="M210" s="80">
        <f t="shared" si="106"/>
        <v>44567888</v>
      </c>
      <c r="N210" s="80">
        <f t="shared" si="106"/>
        <v>-5311122</v>
      </c>
      <c r="O210" s="80">
        <f t="shared" si="106"/>
        <v>1503946</v>
      </c>
      <c r="P210" s="80">
        <f t="shared" si="98"/>
        <v>40760712</v>
      </c>
      <c r="Q210" s="80"/>
      <c r="R210" s="80">
        <f t="shared" si="99"/>
        <v>40760712</v>
      </c>
      <c r="S210" s="80">
        <f t="shared" ref="S210:V210" si="109">S212+S232</f>
        <v>37371244.849749997</v>
      </c>
      <c r="T210" s="80">
        <f t="shared" si="109"/>
        <v>33037673.399</v>
      </c>
      <c r="U210" s="80">
        <f t="shared" si="109"/>
        <v>26759816.248750001</v>
      </c>
      <c r="V210" s="80">
        <f t="shared" si="109"/>
        <v>14235775</v>
      </c>
      <c r="W210" s="80">
        <f t="shared" ref="W210:Z210" si="110">W212+W232</f>
        <v>900000</v>
      </c>
      <c r="X210" s="80">
        <f t="shared" si="110"/>
        <v>56600000</v>
      </c>
      <c r="Y210" s="80">
        <f t="shared" si="110"/>
        <v>0</v>
      </c>
      <c r="Z210" s="80">
        <f t="shared" si="110"/>
        <v>950000</v>
      </c>
      <c r="AA210" s="80"/>
      <c r="AB210" s="80"/>
      <c r="AC210" s="80"/>
      <c r="AD210" s="175"/>
      <c r="AE210" s="259"/>
      <c r="AF210" s="257"/>
      <c r="AG210" s="257"/>
      <c r="AH210" s="257"/>
      <c r="AI210" s="257"/>
      <c r="AJ210" s="258"/>
    </row>
    <row r="211" spans="2:36" x14ac:dyDescent="0.25">
      <c r="B211" s="82" t="s">
        <v>174</v>
      </c>
      <c r="C211" s="79" t="s">
        <v>3</v>
      </c>
      <c r="D211" s="79"/>
      <c r="E211" s="79"/>
      <c r="F211" s="79"/>
      <c r="G211" s="79"/>
      <c r="H211" s="80">
        <f>H215+H216+H218+H221+H224+H219+H227</f>
        <v>111760219</v>
      </c>
      <c r="I211" s="80">
        <f>I215+I216+I218+I221+I224+I219+I227</f>
        <v>0</v>
      </c>
      <c r="J211" s="80">
        <f t="shared" si="64"/>
        <v>111760219</v>
      </c>
      <c r="K211" s="80">
        <f>K215+K216+K218+K221+K224+K219+K227</f>
        <v>0</v>
      </c>
      <c r="L211" s="80">
        <f t="shared" si="65"/>
        <v>111760219</v>
      </c>
      <c r="M211" s="80">
        <f>M215+M216+M218+M221+M224+M219+M227</f>
        <v>17948039</v>
      </c>
      <c r="N211" s="80">
        <f>N215+N216+N218+N221+N224+N219+N227</f>
        <v>-750000</v>
      </c>
      <c r="O211" s="80">
        <f>O215+O216+O218+O221+O224+O219+O227</f>
        <v>1654849</v>
      </c>
      <c r="P211" s="80">
        <f t="shared" si="98"/>
        <v>18852888</v>
      </c>
      <c r="Q211" s="80"/>
      <c r="R211" s="80">
        <f t="shared" si="99"/>
        <v>18852888</v>
      </c>
      <c r="S211" s="80">
        <f t="shared" ref="S211:V211" si="111">S215+S216+S218+S221+S224+S219+S227</f>
        <v>20705852.849750001</v>
      </c>
      <c r="T211" s="80">
        <f t="shared" si="111"/>
        <v>26288571.399</v>
      </c>
      <c r="U211" s="80">
        <f t="shared" si="111"/>
        <v>23610714.248750001</v>
      </c>
      <c r="V211" s="80">
        <f t="shared" si="111"/>
        <v>17386673</v>
      </c>
      <c r="W211" s="80">
        <f t="shared" ref="W211:Z211" si="112">W215+W216+W218+W221+W224+W219+W227</f>
        <v>0</v>
      </c>
      <c r="X211" s="80">
        <f t="shared" si="112"/>
        <v>40100000</v>
      </c>
      <c r="Y211" s="80">
        <f t="shared" si="112"/>
        <v>0</v>
      </c>
      <c r="Z211" s="80">
        <f t="shared" si="112"/>
        <v>950000</v>
      </c>
      <c r="AA211" s="80"/>
      <c r="AB211" s="80"/>
      <c r="AC211" s="80"/>
      <c r="AD211" s="175"/>
      <c r="AE211" s="259"/>
      <c r="AF211" s="257"/>
      <c r="AG211" s="257"/>
      <c r="AH211" s="257"/>
      <c r="AI211" s="257"/>
      <c r="AJ211" s="258"/>
    </row>
    <row r="212" spans="2:36" x14ac:dyDescent="0.25">
      <c r="B212" s="47" t="s">
        <v>30</v>
      </c>
      <c r="C212" s="31" t="s">
        <v>0</v>
      </c>
      <c r="D212" s="31"/>
      <c r="E212" s="31"/>
      <c r="F212" s="31"/>
      <c r="G212" s="31"/>
      <c r="H212" s="32">
        <f>H215+H216+H218+H222+H228+H225</f>
        <v>82137419</v>
      </c>
      <c r="I212" s="32">
        <f>I215+I216+I218+I222+I228+I225</f>
        <v>-800000</v>
      </c>
      <c r="J212" s="32">
        <f t="shared" si="64"/>
        <v>81337419</v>
      </c>
      <c r="K212" s="32">
        <f>K215+K216+K218+K222+K228+K224</f>
        <v>0</v>
      </c>
      <c r="L212" s="32">
        <f t="shared" si="65"/>
        <v>81337419</v>
      </c>
      <c r="M212" s="32">
        <f>M215+M216+M218+M222+M228+M224</f>
        <v>14830619</v>
      </c>
      <c r="N212" s="32">
        <f>N215+N216+N218+N222+N228+N225</f>
        <v>-1550000</v>
      </c>
      <c r="O212" s="32">
        <f>O215+O216+O218+O222+O228+O225</f>
        <v>637429</v>
      </c>
      <c r="P212" s="32">
        <f t="shared" si="98"/>
        <v>13918048</v>
      </c>
      <c r="Q212" s="32"/>
      <c r="R212" s="32">
        <f t="shared" si="99"/>
        <v>13918048</v>
      </c>
      <c r="S212" s="32">
        <f t="shared" ref="S212:V212" si="113">S215+S216+S218+S222+S228+S225</f>
        <v>19022142.849750001</v>
      </c>
      <c r="T212" s="32">
        <f t="shared" si="113"/>
        <v>21088571.399</v>
      </c>
      <c r="U212" s="32">
        <f t="shared" si="113"/>
        <v>17110714.248750001</v>
      </c>
      <c r="V212" s="32">
        <f t="shared" si="113"/>
        <v>5686673</v>
      </c>
      <c r="W212" s="32">
        <f t="shared" ref="W212:Z212" si="114">W215+W216+W218+W222+W228+W225</f>
        <v>0</v>
      </c>
      <c r="X212" s="32">
        <f t="shared" si="114"/>
        <v>40100000</v>
      </c>
      <c r="Y212" s="32">
        <f t="shared" si="114"/>
        <v>0</v>
      </c>
      <c r="Z212" s="32">
        <f t="shared" si="114"/>
        <v>950000</v>
      </c>
      <c r="AA212" s="32"/>
      <c r="AB212" s="32"/>
      <c r="AC212" s="32"/>
      <c r="AD212" s="36"/>
      <c r="AE212" s="259"/>
      <c r="AF212" s="257"/>
      <c r="AG212" s="257"/>
      <c r="AH212" s="257"/>
      <c r="AI212" s="257"/>
      <c r="AJ212" s="258"/>
    </row>
    <row r="213" spans="2:36" x14ac:dyDescent="0.25">
      <c r="B213" s="83"/>
      <c r="C213" s="31" t="s">
        <v>33</v>
      </c>
      <c r="D213" s="31"/>
      <c r="E213" s="31"/>
      <c r="F213" s="31"/>
      <c r="G213" s="31"/>
      <c r="H213" s="32">
        <f>H223+H229</f>
        <v>28572800</v>
      </c>
      <c r="I213" s="32">
        <f>I223+I229</f>
        <v>0</v>
      </c>
      <c r="J213" s="32">
        <f t="shared" si="64"/>
        <v>28572800</v>
      </c>
      <c r="K213" s="32">
        <f>K223+K229</f>
        <v>0</v>
      </c>
      <c r="L213" s="32">
        <f t="shared" si="65"/>
        <v>28572800</v>
      </c>
      <c r="M213" s="32">
        <f>M223+M229</f>
        <v>2067420</v>
      </c>
      <c r="N213" s="32">
        <f>N223+N229</f>
        <v>0</v>
      </c>
      <c r="O213" s="32">
        <f>O223+O229</f>
        <v>767420</v>
      </c>
      <c r="P213" s="32">
        <f t="shared" si="98"/>
        <v>2834840</v>
      </c>
      <c r="Q213" s="32"/>
      <c r="R213" s="32">
        <f t="shared" si="99"/>
        <v>2834840</v>
      </c>
      <c r="S213" s="32">
        <f t="shared" ref="S213:V213" si="115">S223+S229</f>
        <v>1683710</v>
      </c>
      <c r="T213" s="32">
        <f t="shared" si="115"/>
        <v>5200000</v>
      </c>
      <c r="U213" s="32">
        <f t="shared" si="115"/>
        <v>6500000</v>
      </c>
      <c r="V213" s="32">
        <f t="shared" si="115"/>
        <v>11700000</v>
      </c>
      <c r="W213" s="32">
        <f t="shared" ref="W213:Z213" si="116">W223+W229</f>
        <v>0</v>
      </c>
      <c r="X213" s="32">
        <f t="shared" si="116"/>
        <v>0</v>
      </c>
      <c r="Y213" s="32">
        <f t="shared" si="116"/>
        <v>0</v>
      </c>
      <c r="Z213" s="32">
        <f t="shared" si="116"/>
        <v>0</v>
      </c>
      <c r="AA213" s="32"/>
      <c r="AB213" s="32"/>
      <c r="AC213" s="32"/>
      <c r="AD213" s="36"/>
      <c r="AE213" s="259"/>
      <c r="AF213" s="257"/>
      <c r="AG213" s="257"/>
      <c r="AH213" s="257"/>
      <c r="AI213" s="257"/>
      <c r="AJ213" s="258"/>
    </row>
    <row r="214" spans="2:36" x14ac:dyDescent="0.25">
      <c r="B214" s="83"/>
      <c r="C214" s="31" t="s">
        <v>31</v>
      </c>
      <c r="D214" s="31"/>
      <c r="E214" s="31"/>
      <c r="F214" s="31"/>
      <c r="G214" s="31"/>
      <c r="H214" s="32">
        <f>H219+H226</f>
        <v>1050000</v>
      </c>
      <c r="I214" s="32">
        <f>I219+I226</f>
        <v>800000</v>
      </c>
      <c r="J214" s="32">
        <f t="shared" si="64"/>
        <v>1850000</v>
      </c>
      <c r="K214" s="32">
        <f>K219</f>
        <v>0</v>
      </c>
      <c r="L214" s="32">
        <f t="shared" si="65"/>
        <v>1850000</v>
      </c>
      <c r="M214" s="32">
        <f>M219</f>
        <v>1050000</v>
      </c>
      <c r="N214" s="32">
        <f>N219+N226</f>
        <v>800000</v>
      </c>
      <c r="O214" s="32">
        <f>O219+O226</f>
        <v>250000</v>
      </c>
      <c r="P214" s="32">
        <f t="shared" si="98"/>
        <v>2100000</v>
      </c>
      <c r="Q214" s="32"/>
      <c r="R214" s="32">
        <f t="shared" si="99"/>
        <v>2100000</v>
      </c>
      <c r="S214" s="32">
        <f t="shared" ref="S214:V214" si="117">S219+S226</f>
        <v>0</v>
      </c>
      <c r="T214" s="32">
        <f t="shared" si="117"/>
        <v>0</v>
      </c>
      <c r="U214" s="32">
        <f t="shared" si="117"/>
        <v>0</v>
      </c>
      <c r="V214" s="32">
        <f t="shared" si="117"/>
        <v>0</v>
      </c>
      <c r="W214" s="32">
        <f t="shared" ref="W214:Z214" si="118">W219+W226</f>
        <v>0</v>
      </c>
      <c r="X214" s="32">
        <f t="shared" si="118"/>
        <v>0</v>
      </c>
      <c r="Y214" s="32">
        <f t="shared" si="118"/>
        <v>0</v>
      </c>
      <c r="Z214" s="32">
        <f t="shared" si="118"/>
        <v>0</v>
      </c>
      <c r="AA214" s="32"/>
      <c r="AB214" s="32"/>
      <c r="AC214" s="32"/>
      <c r="AD214" s="36"/>
      <c r="AE214" s="259"/>
      <c r="AF214" s="257"/>
      <c r="AG214" s="257"/>
      <c r="AH214" s="257"/>
      <c r="AI214" s="257"/>
      <c r="AJ214" s="258"/>
    </row>
    <row r="215" spans="2:36" s="1" customFormat="1" ht="71.400000000000006" x14ac:dyDescent="0.25">
      <c r="B215" s="84" t="s">
        <v>175</v>
      </c>
      <c r="C215" s="35" t="s">
        <v>0</v>
      </c>
      <c r="D215" s="35" t="s">
        <v>91</v>
      </c>
      <c r="E215" s="35"/>
      <c r="F215" s="35"/>
      <c r="G215" s="35" t="s">
        <v>448</v>
      </c>
      <c r="H215" s="36">
        <v>40140000</v>
      </c>
      <c r="I215" s="36">
        <v>0</v>
      </c>
      <c r="J215" s="36">
        <f t="shared" si="64"/>
        <v>40140000</v>
      </c>
      <c r="K215" s="36"/>
      <c r="L215" s="36">
        <f t="shared" si="65"/>
        <v>40140000</v>
      </c>
      <c r="M215" s="36">
        <f>5000000-3500000</f>
        <v>1500000</v>
      </c>
      <c r="N215" s="36">
        <v>-500000</v>
      </c>
      <c r="O215" s="108">
        <v>3250</v>
      </c>
      <c r="P215" s="36">
        <f t="shared" si="98"/>
        <v>1003250</v>
      </c>
      <c r="Q215" s="36"/>
      <c r="R215" s="36">
        <f t="shared" si="99"/>
        <v>1003250</v>
      </c>
      <c r="S215" s="36">
        <v>10000000</v>
      </c>
      <c r="T215" s="36">
        <v>14000000</v>
      </c>
      <c r="U215" s="36">
        <v>14000000</v>
      </c>
      <c r="V215" s="36"/>
      <c r="W215" s="36"/>
      <c r="X215" s="36">
        <v>37050000</v>
      </c>
      <c r="Y215" s="36"/>
      <c r="Z215" s="36">
        <v>950000</v>
      </c>
      <c r="AA215" s="36" t="s">
        <v>449</v>
      </c>
      <c r="AB215" s="36" t="s">
        <v>450</v>
      </c>
      <c r="AC215" s="36"/>
      <c r="AD215" s="36" t="s">
        <v>514</v>
      </c>
      <c r="AE215" s="259"/>
      <c r="AF215" s="260"/>
      <c r="AG215" s="260"/>
      <c r="AH215" s="260"/>
      <c r="AI215" s="260"/>
      <c r="AJ215" s="258"/>
    </row>
    <row r="216" spans="2:36" s="1" customFormat="1" ht="51" x14ac:dyDescent="0.25">
      <c r="B216" s="84" t="s">
        <v>176</v>
      </c>
      <c r="C216" s="35" t="s">
        <v>0</v>
      </c>
      <c r="D216" s="35" t="s">
        <v>91</v>
      </c>
      <c r="E216" s="35"/>
      <c r="F216" s="35"/>
      <c r="G216" s="35"/>
      <c r="H216" s="36">
        <v>9400000</v>
      </c>
      <c r="I216" s="36">
        <v>0</v>
      </c>
      <c r="J216" s="36">
        <f t="shared" si="64"/>
        <v>9400000</v>
      </c>
      <c r="K216" s="36"/>
      <c r="L216" s="36">
        <f t="shared" si="65"/>
        <v>9400000</v>
      </c>
      <c r="M216" s="36">
        <v>250000</v>
      </c>
      <c r="N216" s="36">
        <v>-250000</v>
      </c>
      <c r="O216" s="36"/>
      <c r="P216" s="36">
        <f t="shared" si="98"/>
        <v>0</v>
      </c>
      <c r="Q216" s="36"/>
      <c r="R216" s="36">
        <f t="shared" si="99"/>
        <v>0</v>
      </c>
      <c r="S216" s="36">
        <v>4550000</v>
      </c>
      <c r="T216" s="36">
        <v>4600000</v>
      </c>
      <c r="U216" s="36"/>
      <c r="V216" s="36"/>
      <c r="W216" s="36"/>
      <c r="X216" s="36"/>
      <c r="Y216" s="36"/>
      <c r="Z216" s="36"/>
      <c r="AA216" s="36"/>
      <c r="AB216" s="36"/>
      <c r="AC216" s="36"/>
      <c r="AD216" s="36" t="s">
        <v>515</v>
      </c>
      <c r="AE216" s="259"/>
      <c r="AF216" s="260"/>
      <c r="AG216" s="260"/>
      <c r="AH216" s="260"/>
      <c r="AI216" s="260"/>
      <c r="AJ216" s="258"/>
    </row>
    <row r="217" spans="2:36" s="1" customFormat="1" x14ac:dyDescent="0.25">
      <c r="B217" s="84" t="s">
        <v>177</v>
      </c>
      <c r="C217" s="35" t="s">
        <v>3</v>
      </c>
      <c r="D217" s="35"/>
      <c r="E217" s="35"/>
      <c r="F217" s="35"/>
      <c r="G217" s="35">
        <v>2023</v>
      </c>
      <c r="H217" s="36">
        <f>H218+H219</f>
        <v>8050000</v>
      </c>
      <c r="I217" s="36">
        <v>0</v>
      </c>
      <c r="J217" s="36">
        <f t="shared" si="64"/>
        <v>8050000</v>
      </c>
      <c r="K217" s="36"/>
      <c r="L217" s="36">
        <f t="shared" si="65"/>
        <v>8050000</v>
      </c>
      <c r="M217" s="36">
        <f t="shared" ref="M217" si="119">M218+M219</f>
        <v>5000000</v>
      </c>
      <c r="N217" s="36">
        <v>0</v>
      </c>
      <c r="O217" s="36"/>
      <c r="P217" s="36">
        <f t="shared" si="98"/>
        <v>5000000</v>
      </c>
      <c r="Q217" s="36"/>
      <c r="R217" s="36">
        <f t="shared" si="99"/>
        <v>5000000</v>
      </c>
      <c r="S217" s="36">
        <f t="shared" ref="S217" si="120">S218+S219</f>
        <v>3050000</v>
      </c>
      <c r="T217" s="36"/>
      <c r="U217" s="36"/>
      <c r="V217" s="36"/>
      <c r="W217" s="36"/>
      <c r="X217" s="36"/>
      <c r="Y217" s="36"/>
      <c r="Z217" s="36"/>
      <c r="AA217" s="36"/>
      <c r="AB217" s="36"/>
      <c r="AC217" s="36"/>
      <c r="AD217" s="36" t="s">
        <v>451</v>
      </c>
      <c r="AE217" s="259"/>
      <c r="AF217" s="260"/>
      <c r="AG217" s="260"/>
      <c r="AH217" s="260"/>
      <c r="AI217" s="260"/>
      <c r="AJ217" s="258"/>
    </row>
    <row r="218" spans="2:36" s="1" customFormat="1" x14ac:dyDescent="0.25">
      <c r="B218" s="84"/>
      <c r="C218" s="35" t="s">
        <v>0</v>
      </c>
      <c r="D218" s="35" t="s">
        <v>91</v>
      </c>
      <c r="E218" s="35"/>
      <c r="F218" s="35"/>
      <c r="G218" s="35"/>
      <c r="H218" s="36">
        <v>7000000</v>
      </c>
      <c r="I218" s="36">
        <v>0</v>
      </c>
      <c r="J218" s="36">
        <f t="shared" si="64"/>
        <v>7000000</v>
      </c>
      <c r="K218" s="36"/>
      <c r="L218" s="36">
        <f t="shared" si="65"/>
        <v>7000000</v>
      </c>
      <c r="M218" s="36">
        <f>7000000-3050000</f>
        <v>3950000</v>
      </c>
      <c r="N218" s="36">
        <v>0</v>
      </c>
      <c r="O218" s="36"/>
      <c r="P218" s="36">
        <f t="shared" si="98"/>
        <v>3950000</v>
      </c>
      <c r="Q218" s="36"/>
      <c r="R218" s="36">
        <f t="shared" si="99"/>
        <v>3950000</v>
      </c>
      <c r="S218" s="36">
        <v>3050000</v>
      </c>
      <c r="T218" s="36"/>
      <c r="U218" s="36"/>
      <c r="V218" s="36"/>
      <c r="W218" s="36"/>
      <c r="X218" s="36">
        <v>3050000</v>
      </c>
      <c r="Y218" s="36"/>
      <c r="Z218" s="36"/>
      <c r="AA218" s="36"/>
      <c r="AB218" s="36">
        <v>2023</v>
      </c>
      <c r="AC218" s="36"/>
      <c r="AD218" s="36"/>
      <c r="AE218" s="259"/>
      <c r="AF218" s="260"/>
      <c r="AG218" s="260"/>
      <c r="AH218" s="260"/>
      <c r="AI218" s="260"/>
      <c r="AJ218" s="258"/>
    </row>
    <row r="219" spans="2:36" s="2" customFormat="1" x14ac:dyDescent="0.25">
      <c r="B219" s="85"/>
      <c r="C219" s="35" t="s">
        <v>31</v>
      </c>
      <c r="D219" s="35" t="s">
        <v>91</v>
      </c>
      <c r="E219" s="35"/>
      <c r="F219" s="35"/>
      <c r="G219" s="35"/>
      <c r="H219" s="36">
        <v>1050000</v>
      </c>
      <c r="I219" s="36">
        <v>0</v>
      </c>
      <c r="J219" s="36">
        <f t="shared" si="64"/>
        <v>1050000</v>
      </c>
      <c r="K219" s="36"/>
      <c r="L219" s="36">
        <f t="shared" si="65"/>
        <v>1050000</v>
      </c>
      <c r="M219" s="36">
        <v>1050000</v>
      </c>
      <c r="N219" s="36">
        <v>0</v>
      </c>
      <c r="O219" s="36"/>
      <c r="P219" s="36">
        <f t="shared" si="98"/>
        <v>1050000</v>
      </c>
      <c r="Q219" s="36"/>
      <c r="R219" s="36">
        <f t="shared" si="99"/>
        <v>1050000</v>
      </c>
      <c r="S219" s="36"/>
      <c r="T219" s="36"/>
      <c r="U219" s="36"/>
      <c r="V219" s="36"/>
      <c r="W219" s="36"/>
      <c r="X219" s="36"/>
      <c r="Y219" s="36"/>
      <c r="Z219" s="36"/>
      <c r="AA219" s="36"/>
      <c r="AB219" s="36"/>
      <c r="AC219" s="36"/>
      <c r="AD219" s="36"/>
      <c r="AE219" s="259"/>
      <c r="AF219" s="263"/>
      <c r="AG219" s="263"/>
      <c r="AH219" s="263"/>
      <c r="AI219" s="263"/>
      <c r="AJ219" s="258"/>
    </row>
    <row r="220" spans="2:36" s="2" customFormat="1" x14ac:dyDescent="0.25">
      <c r="B220" s="86" t="s">
        <v>178</v>
      </c>
      <c r="C220" s="87"/>
      <c r="D220" s="87"/>
      <c r="E220" s="87"/>
      <c r="F220" s="87"/>
      <c r="G220" s="87"/>
      <c r="H220" s="88">
        <v>256000</v>
      </c>
      <c r="I220" s="88">
        <v>0</v>
      </c>
      <c r="J220" s="88">
        <f t="shared" si="64"/>
        <v>256000</v>
      </c>
      <c r="K220" s="88"/>
      <c r="L220" s="88">
        <f t="shared" si="65"/>
        <v>256000</v>
      </c>
      <c r="M220" s="88">
        <v>158720</v>
      </c>
      <c r="N220" s="88">
        <v>0</v>
      </c>
      <c r="O220" s="88"/>
      <c r="P220" s="88">
        <f t="shared" si="98"/>
        <v>158720</v>
      </c>
      <c r="Q220" s="88"/>
      <c r="R220" s="88">
        <f t="shared" si="99"/>
        <v>158720</v>
      </c>
      <c r="S220" s="88"/>
      <c r="T220" s="88"/>
      <c r="U220" s="88"/>
      <c r="V220" s="88"/>
      <c r="W220" s="88"/>
      <c r="X220" s="88"/>
      <c r="Y220" s="88"/>
      <c r="Z220" s="88"/>
      <c r="AA220" s="88"/>
      <c r="AB220" s="88"/>
      <c r="AC220" s="88"/>
      <c r="AD220" s="88"/>
      <c r="AE220" s="259"/>
      <c r="AF220" s="263"/>
      <c r="AG220" s="263"/>
      <c r="AH220" s="263"/>
      <c r="AI220" s="263"/>
      <c r="AJ220" s="258"/>
    </row>
    <row r="221" spans="2:36" s="1" customFormat="1" ht="214.2" x14ac:dyDescent="0.25">
      <c r="B221" s="84" t="s">
        <v>12</v>
      </c>
      <c r="C221" s="35" t="s">
        <v>3</v>
      </c>
      <c r="D221" s="35" t="s">
        <v>91</v>
      </c>
      <c r="E221" s="35"/>
      <c r="F221" s="35"/>
      <c r="G221" s="35">
        <v>2024</v>
      </c>
      <c r="H221" s="36">
        <f>H222+H223</f>
        <v>39253419</v>
      </c>
      <c r="I221" s="36">
        <v>0</v>
      </c>
      <c r="J221" s="36">
        <f t="shared" si="64"/>
        <v>39253419</v>
      </c>
      <c r="K221" s="36"/>
      <c r="L221" s="36">
        <f t="shared" si="65"/>
        <v>39253419</v>
      </c>
      <c r="M221" s="36">
        <f>M222+M223</f>
        <v>1922143</v>
      </c>
      <c r="N221" s="36">
        <v>0</v>
      </c>
      <c r="O221" s="36">
        <f>O222+O223</f>
        <v>155520</v>
      </c>
      <c r="P221" s="36">
        <f t="shared" si="98"/>
        <v>2077663</v>
      </c>
      <c r="Q221" s="36"/>
      <c r="R221" s="36">
        <f t="shared" si="99"/>
        <v>2077663</v>
      </c>
      <c r="S221" s="36">
        <v>1922142.8497500001</v>
      </c>
      <c r="T221" s="36">
        <v>7688571.3990000002</v>
      </c>
      <c r="U221" s="36">
        <v>9610714.2487500012</v>
      </c>
      <c r="V221" s="36">
        <f>SUM(V222:V223)</f>
        <v>17386673</v>
      </c>
      <c r="W221" s="36"/>
      <c r="X221" s="195"/>
      <c r="Y221" s="36"/>
      <c r="Z221" s="36"/>
      <c r="AA221" s="36"/>
      <c r="AB221" s="36"/>
      <c r="AC221" s="36"/>
      <c r="AD221" s="36" t="s">
        <v>452</v>
      </c>
      <c r="AE221" s="259"/>
      <c r="AF221" s="260"/>
      <c r="AG221" s="260"/>
      <c r="AH221" s="260"/>
      <c r="AI221" s="260"/>
      <c r="AJ221" s="258"/>
    </row>
    <row r="222" spans="2:36" s="1" customFormat="1" x14ac:dyDescent="0.25">
      <c r="B222" s="89" t="s">
        <v>30</v>
      </c>
      <c r="C222" s="35" t="s">
        <v>0</v>
      </c>
      <c r="D222" s="35"/>
      <c r="E222" s="35"/>
      <c r="F222" s="35"/>
      <c r="G222" s="35"/>
      <c r="H222" s="36">
        <v>12863419</v>
      </c>
      <c r="I222" s="36">
        <v>0</v>
      </c>
      <c r="J222" s="36">
        <f t="shared" ref="J222:J295" si="121">H222+I222</f>
        <v>12863419</v>
      </c>
      <c r="K222" s="36"/>
      <c r="L222" s="36">
        <f t="shared" ref="L222:L295" si="122">J222+K222</f>
        <v>12863419</v>
      </c>
      <c r="M222" s="36">
        <v>622143</v>
      </c>
      <c r="N222" s="36">
        <v>0</v>
      </c>
      <c r="O222" s="108">
        <v>155520</v>
      </c>
      <c r="P222" s="36">
        <f t="shared" si="98"/>
        <v>777663</v>
      </c>
      <c r="Q222" s="36"/>
      <c r="R222" s="36">
        <f t="shared" si="99"/>
        <v>777663</v>
      </c>
      <c r="S222" s="36">
        <v>622142.84975000005</v>
      </c>
      <c r="T222" s="36">
        <v>2488571.3990000002</v>
      </c>
      <c r="U222" s="36">
        <v>3110714.2487500003</v>
      </c>
      <c r="V222" s="36">
        <v>5686673</v>
      </c>
      <c r="W222" s="195"/>
      <c r="X222" s="36"/>
      <c r="Y222" s="36"/>
      <c r="Z222" s="36"/>
      <c r="AA222" s="36"/>
      <c r="AB222" s="36"/>
      <c r="AC222" s="36"/>
      <c r="AD222" s="36"/>
      <c r="AE222" s="259"/>
      <c r="AF222" s="260"/>
      <c r="AG222" s="260"/>
      <c r="AH222" s="260"/>
      <c r="AI222" s="260"/>
      <c r="AJ222" s="258"/>
    </row>
    <row r="223" spans="2:36" s="1" customFormat="1" x14ac:dyDescent="0.25">
      <c r="B223" s="84"/>
      <c r="C223" s="35" t="s">
        <v>33</v>
      </c>
      <c r="D223" s="35"/>
      <c r="E223" s="35"/>
      <c r="F223" s="35"/>
      <c r="G223" s="35"/>
      <c r="H223" s="36">
        <v>26390000</v>
      </c>
      <c r="I223" s="36">
        <v>0</v>
      </c>
      <c r="J223" s="36">
        <f t="shared" si="121"/>
        <v>26390000</v>
      </c>
      <c r="K223" s="36"/>
      <c r="L223" s="36">
        <f t="shared" si="122"/>
        <v>26390000</v>
      </c>
      <c r="M223" s="36">
        <v>1300000</v>
      </c>
      <c r="N223" s="36">
        <v>0</v>
      </c>
      <c r="O223" s="36"/>
      <c r="P223" s="36">
        <f t="shared" si="98"/>
        <v>1300000</v>
      </c>
      <c r="Q223" s="36"/>
      <c r="R223" s="36">
        <f t="shared" si="99"/>
        <v>1300000</v>
      </c>
      <c r="S223" s="36">
        <v>1300000</v>
      </c>
      <c r="T223" s="36">
        <v>5200000</v>
      </c>
      <c r="U223" s="36">
        <v>6500000</v>
      </c>
      <c r="V223" s="36">
        <v>11700000</v>
      </c>
      <c r="W223" s="36"/>
      <c r="X223" s="36"/>
      <c r="Y223" s="36"/>
      <c r="Z223" s="36"/>
      <c r="AA223" s="36"/>
      <c r="AB223" s="36"/>
      <c r="AC223" s="36"/>
      <c r="AD223" s="36"/>
      <c r="AE223" s="259"/>
      <c r="AF223" s="260"/>
      <c r="AG223" s="260"/>
      <c r="AH223" s="260"/>
      <c r="AI223" s="260"/>
      <c r="AJ223" s="258"/>
    </row>
    <row r="224" spans="2:36" s="1" customFormat="1" x14ac:dyDescent="0.25">
      <c r="B224" s="90" t="s">
        <v>179</v>
      </c>
      <c r="C224" s="35" t="s">
        <v>3</v>
      </c>
      <c r="D224" s="91" t="s">
        <v>91</v>
      </c>
      <c r="E224" s="91"/>
      <c r="F224" s="91"/>
      <c r="G224" s="91">
        <v>2022</v>
      </c>
      <c r="H224" s="92">
        <f>SUM(H225:H226)</f>
        <v>8000000</v>
      </c>
      <c r="I224" s="92">
        <f>SUM(I225:I226)</f>
        <v>0</v>
      </c>
      <c r="J224" s="207">
        <f t="shared" si="121"/>
        <v>8000000</v>
      </c>
      <c r="K224" s="92"/>
      <c r="L224" s="92">
        <f t="shared" si="122"/>
        <v>8000000</v>
      </c>
      <c r="M224" s="92">
        <f>SUM(M225:M226)</f>
        <v>8000000</v>
      </c>
      <c r="N224" s="92">
        <f>SUM(N225:N226)</f>
        <v>0</v>
      </c>
      <c r="O224" s="92">
        <f>SUM(O225:O226)</f>
        <v>313490</v>
      </c>
      <c r="P224" s="92">
        <f t="shared" si="98"/>
        <v>8313490</v>
      </c>
      <c r="Q224" s="207"/>
      <c r="R224" s="207">
        <f t="shared" si="99"/>
        <v>8313490</v>
      </c>
      <c r="S224" s="92"/>
      <c r="T224" s="92"/>
      <c r="U224" s="92"/>
      <c r="V224" s="92"/>
      <c r="W224" s="92"/>
      <c r="X224" s="92"/>
      <c r="Y224" s="92"/>
      <c r="Z224" s="92"/>
      <c r="AA224" s="92"/>
      <c r="AB224" s="92"/>
      <c r="AC224" s="92"/>
      <c r="AD224" s="92" t="s">
        <v>453</v>
      </c>
      <c r="AE224" s="259"/>
      <c r="AF224" s="260"/>
      <c r="AG224" s="260"/>
      <c r="AH224" s="260"/>
      <c r="AI224" s="260"/>
      <c r="AJ224" s="258"/>
    </row>
    <row r="225" spans="2:36" s="1" customFormat="1" x14ac:dyDescent="0.25">
      <c r="B225" s="224"/>
      <c r="C225" s="35" t="s">
        <v>0</v>
      </c>
      <c r="D225" s="225"/>
      <c r="E225" s="225"/>
      <c r="F225" s="225"/>
      <c r="G225" s="225"/>
      <c r="H225" s="92">
        <v>8000000</v>
      </c>
      <c r="I225" s="207">
        <v>-800000</v>
      </c>
      <c r="J225" s="207">
        <f t="shared" si="121"/>
        <v>7200000</v>
      </c>
      <c r="K225" s="207"/>
      <c r="L225" s="92">
        <f t="shared" si="122"/>
        <v>7200000</v>
      </c>
      <c r="M225" s="92">
        <v>8000000</v>
      </c>
      <c r="N225" s="207">
        <v>-800000</v>
      </c>
      <c r="O225" s="108">
        <v>63490</v>
      </c>
      <c r="P225" s="207">
        <f t="shared" si="98"/>
        <v>7263490</v>
      </c>
      <c r="Q225" s="207"/>
      <c r="R225" s="207">
        <f t="shared" si="99"/>
        <v>7263490</v>
      </c>
      <c r="S225" s="207"/>
      <c r="T225" s="207"/>
      <c r="U225" s="207"/>
      <c r="V225" s="207"/>
      <c r="W225" s="207"/>
      <c r="X225" s="207"/>
      <c r="Y225" s="207"/>
      <c r="Z225" s="207"/>
      <c r="AA225" s="207"/>
      <c r="AB225" s="207"/>
      <c r="AC225" s="207"/>
      <c r="AD225" s="207"/>
      <c r="AE225" s="259"/>
      <c r="AF225" s="260"/>
      <c r="AG225" s="260"/>
      <c r="AH225" s="260"/>
      <c r="AI225" s="260"/>
      <c r="AJ225" s="258"/>
    </row>
    <row r="226" spans="2:36" s="1" customFormat="1" x14ac:dyDescent="0.25">
      <c r="B226" s="224"/>
      <c r="C226" s="35" t="s">
        <v>31</v>
      </c>
      <c r="D226" s="225"/>
      <c r="E226" s="225"/>
      <c r="F226" s="225"/>
      <c r="G226" s="225"/>
      <c r="H226" s="207"/>
      <c r="I226" s="207">
        <v>800000</v>
      </c>
      <c r="J226" s="207">
        <f t="shared" si="121"/>
        <v>800000</v>
      </c>
      <c r="K226" s="207"/>
      <c r="L226" s="92">
        <f t="shared" si="122"/>
        <v>800000</v>
      </c>
      <c r="M226" s="207"/>
      <c r="N226" s="207">
        <v>800000</v>
      </c>
      <c r="O226" s="108">
        <v>250000</v>
      </c>
      <c r="P226" s="207">
        <f t="shared" si="98"/>
        <v>1050000</v>
      </c>
      <c r="Q226" s="207"/>
      <c r="R226" s="207">
        <f t="shared" si="99"/>
        <v>1050000</v>
      </c>
      <c r="S226" s="207"/>
      <c r="T226" s="207"/>
      <c r="U226" s="207"/>
      <c r="V226" s="207"/>
      <c r="W226" s="207"/>
      <c r="X226" s="207"/>
      <c r="Y226" s="207"/>
      <c r="Z226" s="207"/>
      <c r="AA226" s="207"/>
      <c r="AB226" s="207"/>
      <c r="AC226" s="207"/>
      <c r="AD226" s="207"/>
      <c r="AE226" s="259"/>
      <c r="AF226" s="260"/>
      <c r="AG226" s="260"/>
      <c r="AH226" s="260"/>
      <c r="AI226" s="260"/>
      <c r="AJ226" s="258"/>
    </row>
    <row r="227" spans="2:36" s="1" customFormat="1" x14ac:dyDescent="0.25">
      <c r="B227" s="84" t="s">
        <v>6</v>
      </c>
      <c r="C227" s="35" t="s">
        <v>3</v>
      </c>
      <c r="D227" s="35" t="s">
        <v>91</v>
      </c>
      <c r="E227" s="35"/>
      <c r="F227" s="35"/>
      <c r="G227" s="35">
        <v>2023</v>
      </c>
      <c r="H227" s="36">
        <f>SUM(H228:H229)</f>
        <v>6916800</v>
      </c>
      <c r="I227" s="36">
        <v>0</v>
      </c>
      <c r="J227" s="36">
        <f t="shared" si="121"/>
        <v>6916800</v>
      </c>
      <c r="K227" s="36"/>
      <c r="L227" s="36">
        <f t="shared" si="122"/>
        <v>6916800</v>
      </c>
      <c r="M227" s="36">
        <f>M228+M229</f>
        <v>1275896</v>
      </c>
      <c r="N227" s="36">
        <v>0</v>
      </c>
      <c r="O227" s="36">
        <f>O228+O229</f>
        <v>1182589</v>
      </c>
      <c r="P227" s="36">
        <f t="shared" si="98"/>
        <v>2458485</v>
      </c>
      <c r="Q227" s="36"/>
      <c r="R227" s="36">
        <f t="shared" si="99"/>
        <v>2458485</v>
      </c>
      <c r="S227" s="36">
        <f>SUM(S228:S229)</f>
        <v>1183710</v>
      </c>
      <c r="T227" s="36"/>
      <c r="U227" s="36"/>
      <c r="V227" s="36"/>
      <c r="W227" s="36"/>
      <c r="X227" s="36"/>
      <c r="Y227" s="36"/>
      <c r="Z227" s="36"/>
      <c r="AA227" s="36"/>
      <c r="AB227" s="36"/>
      <c r="AC227" s="36"/>
      <c r="AD227" s="36" t="s">
        <v>454</v>
      </c>
      <c r="AE227" s="259"/>
      <c r="AF227" s="260"/>
      <c r="AG227" s="260"/>
      <c r="AH227" s="260"/>
      <c r="AI227" s="260"/>
      <c r="AJ227" s="258"/>
    </row>
    <row r="228" spans="2:36" s="1" customFormat="1" x14ac:dyDescent="0.25">
      <c r="B228" s="93" t="s">
        <v>30</v>
      </c>
      <c r="C228" s="35" t="s">
        <v>0</v>
      </c>
      <c r="D228" s="35"/>
      <c r="E228" s="35"/>
      <c r="F228" s="35"/>
      <c r="G228" s="35"/>
      <c r="H228" s="36">
        <v>4734000</v>
      </c>
      <c r="I228" s="36">
        <v>0</v>
      </c>
      <c r="J228" s="36">
        <f t="shared" si="121"/>
        <v>4734000</v>
      </c>
      <c r="K228" s="36"/>
      <c r="L228" s="36">
        <f t="shared" si="122"/>
        <v>4734000</v>
      </c>
      <c r="M228" s="36">
        <v>508476</v>
      </c>
      <c r="N228" s="36">
        <v>0</v>
      </c>
      <c r="O228" s="108">
        <v>415169</v>
      </c>
      <c r="P228" s="36">
        <f t="shared" si="98"/>
        <v>923645</v>
      </c>
      <c r="Q228" s="36"/>
      <c r="R228" s="36">
        <f t="shared" si="99"/>
        <v>923645</v>
      </c>
      <c r="S228" s="36">
        <v>800000</v>
      </c>
      <c r="T228" s="36"/>
      <c r="U228" s="36"/>
      <c r="V228" s="36"/>
      <c r="W228" s="36"/>
      <c r="X228" s="36"/>
      <c r="Y228" s="36"/>
      <c r="Z228" s="36"/>
      <c r="AA228" s="36"/>
      <c r="AB228" s="36"/>
      <c r="AC228" s="36"/>
      <c r="AD228" s="36"/>
      <c r="AE228" s="259"/>
      <c r="AF228" s="260"/>
      <c r="AG228" s="260"/>
      <c r="AH228" s="260"/>
      <c r="AI228" s="260"/>
      <c r="AJ228" s="258"/>
    </row>
    <row r="229" spans="2:36" s="1" customFormat="1" x14ac:dyDescent="0.25">
      <c r="B229" s="84"/>
      <c r="C229" s="35" t="s">
        <v>33</v>
      </c>
      <c r="D229" s="35"/>
      <c r="E229" s="35"/>
      <c r="F229" s="35"/>
      <c r="G229" s="35"/>
      <c r="H229" s="36">
        <v>2182800</v>
      </c>
      <c r="I229" s="36">
        <v>0</v>
      </c>
      <c r="J229" s="36">
        <f t="shared" si="121"/>
        <v>2182800</v>
      </c>
      <c r="K229" s="36"/>
      <c r="L229" s="36">
        <f t="shared" si="122"/>
        <v>2182800</v>
      </c>
      <c r="M229" s="36">
        <v>767420</v>
      </c>
      <c r="N229" s="36">
        <v>0</v>
      </c>
      <c r="O229" s="108">
        <v>767420</v>
      </c>
      <c r="P229" s="36">
        <f t="shared" si="98"/>
        <v>1534840</v>
      </c>
      <c r="Q229" s="36"/>
      <c r="R229" s="36">
        <f t="shared" si="99"/>
        <v>1534840</v>
      </c>
      <c r="S229" s="36">
        <v>383710</v>
      </c>
      <c r="T229" s="36"/>
      <c r="U229" s="36"/>
      <c r="V229" s="36"/>
      <c r="W229" s="36"/>
      <c r="X229" s="36"/>
      <c r="Y229" s="36"/>
      <c r="Z229" s="36"/>
      <c r="AA229" s="36"/>
      <c r="AB229" s="36"/>
      <c r="AC229" s="36"/>
      <c r="AD229" s="36"/>
      <c r="AE229" s="259"/>
      <c r="AF229" s="260"/>
      <c r="AG229" s="260"/>
      <c r="AH229" s="260"/>
      <c r="AI229" s="260"/>
      <c r="AJ229" s="258"/>
    </row>
    <row r="230" spans="2:36" s="2" customFormat="1" x14ac:dyDescent="0.25">
      <c r="B230" s="86" t="s">
        <v>178</v>
      </c>
      <c r="C230" s="87"/>
      <c r="D230" s="87"/>
      <c r="E230" s="87"/>
      <c r="F230" s="87"/>
      <c r="G230" s="87"/>
      <c r="H230" s="88">
        <v>350000</v>
      </c>
      <c r="I230" s="88">
        <v>0</v>
      </c>
      <c r="J230" s="88">
        <f t="shared" si="121"/>
        <v>350000</v>
      </c>
      <c r="K230" s="88"/>
      <c r="L230" s="88">
        <f t="shared" si="122"/>
        <v>350000</v>
      </c>
      <c r="M230" s="88">
        <v>70000</v>
      </c>
      <c r="N230" s="88">
        <v>0</v>
      </c>
      <c r="O230" s="88"/>
      <c r="P230" s="88">
        <f t="shared" si="98"/>
        <v>70000</v>
      </c>
      <c r="Q230" s="88"/>
      <c r="R230" s="88">
        <f t="shared" si="99"/>
        <v>70000</v>
      </c>
      <c r="S230" s="88"/>
      <c r="T230" s="88"/>
      <c r="U230" s="88"/>
      <c r="V230" s="88"/>
      <c r="W230" s="88"/>
      <c r="X230" s="88"/>
      <c r="Y230" s="88"/>
      <c r="Z230" s="88"/>
      <c r="AA230" s="88"/>
      <c r="AB230" s="88"/>
      <c r="AC230" s="88"/>
      <c r="AD230" s="88"/>
      <c r="AE230" s="259"/>
      <c r="AF230" s="263"/>
      <c r="AG230" s="263"/>
      <c r="AH230" s="263"/>
      <c r="AI230" s="263"/>
      <c r="AJ230" s="258"/>
    </row>
    <row r="231" spans="2:36" ht="15.6" x14ac:dyDescent="0.25">
      <c r="B231" s="82" t="s">
        <v>583</v>
      </c>
      <c r="C231" s="79" t="s">
        <v>3</v>
      </c>
      <c r="D231" s="79" t="s">
        <v>91</v>
      </c>
      <c r="E231" s="79"/>
      <c r="F231" s="79"/>
      <c r="G231" s="79"/>
      <c r="H231" s="80">
        <f>SUM(H234:H254)-H235</f>
        <v>203468167</v>
      </c>
      <c r="I231" s="80">
        <v>5144680</v>
      </c>
      <c r="J231" s="80">
        <f t="shared" si="121"/>
        <v>208612847</v>
      </c>
      <c r="K231" s="80">
        <f>SUM(K234:K254)-K235</f>
        <v>23550000</v>
      </c>
      <c r="L231" s="80">
        <f t="shared" si="122"/>
        <v>232162847</v>
      </c>
      <c r="M231" s="80">
        <f>SUM(M234:M254)-M235</f>
        <v>33288167</v>
      </c>
      <c r="N231" s="80">
        <f>SUM(N234:N254)-N235</f>
        <v>-3819258</v>
      </c>
      <c r="O231" s="80">
        <f>SUM(O234:O254)-O235</f>
        <v>866517</v>
      </c>
      <c r="P231" s="80">
        <f t="shared" si="98"/>
        <v>30335426</v>
      </c>
      <c r="Q231" s="80"/>
      <c r="R231" s="80">
        <f t="shared" si="99"/>
        <v>30335426</v>
      </c>
      <c r="S231" s="80">
        <f t="shared" ref="S231:V231" si="123">SUM(S234:S254)-S235</f>
        <v>21900000</v>
      </c>
      <c r="T231" s="80">
        <f t="shared" si="123"/>
        <v>15500000</v>
      </c>
      <c r="U231" s="80">
        <f t="shared" si="123"/>
        <v>13200000</v>
      </c>
      <c r="V231" s="80">
        <f t="shared" si="123"/>
        <v>12100000</v>
      </c>
      <c r="W231" s="80">
        <f t="shared" ref="W231:Z231" si="124">SUM(W234:W254)-W235</f>
        <v>900000</v>
      </c>
      <c r="X231" s="80">
        <f t="shared" si="124"/>
        <v>16500000</v>
      </c>
      <c r="Y231" s="80">
        <f t="shared" si="124"/>
        <v>0</v>
      </c>
      <c r="Z231" s="80">
        <f t="shared" si="124"/>
        <v>0</v>
      </c>
      <c r="AA231" s="80"/>
      <c r="AB231" s="80"/>
      <c r="AC231" s="80"/>
      <c r="AD231" s="175"/>
      <c r="AE231" s="259"/>
      <c r="AF231" s="257"/>
      <c r="AG231" s="257"/>
      <c r="AH231" s="257"/>
      <c r="AI231" s="257"/>
      <c r="AJ231" s="258"/>
    </row>
    <row r="232" spans="2:36" x14ac:dyDescent="0.25">
      <c r="B232" s="196" t="s">
        <v>30</v>
      </c>
      <c r="C232" s="197" t="s">
        <v>0</v>
      </c>
      <c r="D232" s="197"/>
      <c r="E232" s="197"/>
      <c r="F232" s="197"/>
      <c r="G232" s="197"/>
      <c r="H232" s="198">
        <f>H231-H233</f>
        <v>185844695</v>
      </c>
      <c r="I232" s="198">
        <v>5144680</v>
      </c>
      <c r="J232" s="198">
        <f t="shared" si="121"/>
        <v>190989375</v>
      </c>
      <c r="K232" s="198">
        <f>K231-K233</f>
        <v>23550000</v>
      </c>
      <c r="L232" s="198">
        <f t="shared" si="122"/>
        <v>214539375</v>
      </c>
      <c r="M232" s="198">
        <f>M231-M233</f>
        <v>29737269</v>
      </c>
      <c r="N232" s="198">
        <f>N231-N233</f>
        <v>-3761122</v>
      </c>
      <c r="O232" s="198">
        <f>O231-O233</f>
        <v>866517</v>
      </c>
      <c r="P232" s="198">
        <f t="shared" si="98"/>
        <v>26842664</v>
      </c>
      <c r="Q232" s="198"/>
      <c r="R232" s="198">
        <f t="shared" si="99"/>
        <v>26842664</v>
      </c>
      <c r="S232" s="198">
        <f t="shared" ref="S232:V232" si="125">S231-S233</f>
        <v>18349102</v>
      </c>
      <c r="T232" s="198">
        <f t="shared" si="125"/>
        <v>11949102</v>
      </c>
      <c r="U232" s="198">
        <f t="shared" si="125"/>
        <v>9649102</v>
      </c>
      <c r="V232" s="198">
        <f t="shared" si="125"/>
        <v>8549102</v>
      </c>
      <c r="W232" s="198">
        <f t="shared" ref="W232" si="126">W231-W233</f>
        <v>900000</v>
      </c>
      <c r="X232" s="198">
        <f t="shared" ref="X232" si="127">X231-X233</f>
        <v>16500000</v>
      </c>
      <c r="Y232" s="198">
        <f t="shared" ref="Y232" si="128">Y231-Y233</f>
        <v>0</v>
      </c>
      <c r="Z232" s="198">
        <f t="shared" ref="Z232" si="129">Z231-Z233</f>
        <v>0</v>
      </c>
      <c r="AA232" s="198"/>
      <c r="AB232" s="198"/>
      <c r="AC232" s="198"/>
      <c r="AD232" s="199"/>
      <c r="AE232" s="259"/>
      <c r="AF232" s="257"/>
      <c r="AG232" s="257"/>
      <c r="AH232" s="257"/>
      <c r="AI232" s="257"/>
      <c r="AJ232" s="258"/>
    </row>
    <row r="233" spans="2:36" x14ac:dyDescent="0.25">
      <c r="B233" s="94"/>
      <c r="C233" s="95" t="s">
        <v>31</v>
      </c>
      <c r="D233" s="95"/>
      <c r="E233" s="95"/>
      <c r="F233" s="95"/>
      <c r="G233" s="95"/>
      <c r="H233" s="96">
        <v>17623472</v>
      </c>
      <c r="I233" s="96">
        <v>0</v>
      </c>
      <c r="J233" s="96">
        <f t="shared" si="121"/>
        <v>17623472</v>
      </c>
      <c r="K233" s="96"/>
      <c r="L233" s="96">
        <f t="shared" si="122"/>
        <v>17623472</v>
      </c>
      <c r="M233" s="96">
        <v>3550898</v>
      </c>
      <c r="N233" s="96">
        <v>-58136</v>
      </c>
      <c r="O233" s="96"/>
      <c r="P233" s="96">
        <f t="shared" si="98"/>
        <v>3492762</v>
      </c>
      <c r="Q233" s="96"/>
      <c r="R233" s="96">
        <f t="shared" si="99"/>
        <v>3492762</v>
      </c>
      <c r="S233" s="96">
        <v>3550898</v>
      </c>
      <c r="T233" s="96">
        <v>3550898</v>
      </c>
      <c r="U233" s="96">
        <v>3550898</v>
      </c>
      <c r="V233" s="96">
        <v>3550898</v>
      </c>
      <c r="W233" s="96"/>
      <c r="X233" s="96"/>
      <c r="Y233" s="96"/>
      <c r="Z233" s="96"/>
      <c r="AA233" s="96"/>
      <c r="AB233" s="96"/>
      <c r="AC233" s="96"/>
      <c r="AD233" s="88"/>
      <c r="AE233" s="259"/>
      <c r="AF233" s="257"/>
      <c r="AG233" s="257"/>
      <c r="AH233" s="257"/>
      <c r="AI233" s="257"/>
      <c r="AJ233" s="258"/>
    </row>
    <row r="234" spans="2:36" x14ac:dyDescent="0.25">
      <c r="B234" s="84" t="s">
        <v>180</v>
      </c>
      <c r="C234" s="35"/>
      <c r="D234" s="35"/>
      <c r="E234" s="35"/>
      <c r="F234" s="35"/>
      <c r="G234" s="35" t="s">
        <v>455</v>
      </c>
      <c r="H234" s="36">
        <v>2000000</v>
      </c>
      <c r="I234" s="36">
        <v>0</v>
      </c>
      <c r="J234" s="36">
        <f t="shared" si="121"/>
        <v>2000000</v>
      </c>
      <c r="K234" s="36"/>
      <c r="L234" s="36">
        <f t="shared" si="122"/>
        <v>2000000</v>
      </c>
      <c r="M234" s="36">
        <f>2000000-1000000</f>
        <v>1000000</v>
      </c>
      <c r="N234" s="36">
        <v>-900000</v>
      </c>
      <c r="O234" s="36"/>
      <c r="P234" s="36">
        <f t="shared" si="98"/>
        <v>100000</v>
      </c>
      <c r="Q234" s="36"/>
      <c r="R234" s="36">
        <f t="shared" si="99"/>
        <v>100000</v>
      </c>
      <c r="S234" s="36">
        <v>1000000</v>
      </c>
      <c r="T234" s="36"/>
      <c r="U234" s="36"/>
      <c r="V234" s="36"/>
      <c r="W234" s="36"/>
      <c r="X234" s="36">
        <v>1500000</v>
      </c>
      <c r="Y234" s="36"/>
      <c r="Z234" s="36"/>
      <c r="AA234" s="36">
        <v>2022</v>
      </c>
      <c r="AB234" s="36" t="s">
        <v>455</v>
      </c>
      <c r="AC234" s="36"/>
      <c r="AD234" s="36" t="s">
        <v>456</v>
      </c>
      <c r="AE234" s="259"/>
      <c r="AF234" s="257"/>
      <c r="AG234" s="257"/>
      <c r="AH234" s="257"/>
      <c r="AI234" s="257"/>
      <c r="AJ234" s="258"/>
    </row>
    <row r="235" spans="2:36" s="2" customFormat="1" x14ac:dyDescent="0.25">
      <c r="B235" s="86" t="s">
        <v>178</v>
      </c>
      <c r="C235" s="87"/>
      <c r="D235" s="87"/>
      <c r="E235" s="87"/>
      <c r="F235" s="87"/>
      <c r="G235" s="87"/>
      <c r="H235" s="88">
        <v>221000</v>
      </c>
      <c r="I235" s="88">
        <v>0</v>
      </c>
      <c r="J235" s="88">
        <f t="shared" si="121"/>
        <v>221000</v>
      </c>
      <c r="K235" s="88"/>
      <c r="L235" s="88">
        <f t="shared" si="122"/>
        <v>221000</v>
      </c>
      <c r="M235" s="88">
        <v>110500</v>
      </c>
      <c r="N235" s="88">
        <v>0</v>
      </c>
      <c r="O235" s="88"/>
      <c r="P235" s="88">
        <f t="shared" si="98"/>
        <v>110500</v>
      </c>
      <c r="Q235" s="88"/>
      <c r="R235" s="88">
        <f t="shared" si="99"/>
        <v>110500</v>
      </c>
      <c r="S235" s="88">
        <v>110500</v>
      </c>
      <c r="T235" s="88"/>
      <c r="U235" s="88"/>
      <c r="V235" s="88"/>
      <c r="W235" s="88"/>
      <c r="X235" s="88"/>
      <c r="Y235" s="88"/>
      <c r="Z235" s="88"/>
      <c r="AA235" s="88"/>
      <c r="AB235" s="88"/>
      <c r="AC235" s="88"/>
      <c r="AD235" s="88"/>
      <c r="AE235" s="259"/>
      <c r="AF235" s="263"/>
      <c r="AG235" s="263"/>
      <c r="AH235" s="263"/>
      <c r="AI235" s="263"/>
      <c r="AJ235" s="258"/>
    </row>
    <row r="236" spans="2:36" x14ac:dyDescent="0.25">
      <c r="B236" s="84" t="s">
        <v>181</v>
      </c>
      <c r="C236" s="35"/>
      <c r="D236" s="35"/>
      <c r="E236" s="35"/>
      <c r="F236" s="35"/>
      <c r="G236" s="35">
        <v>2022</v>
      </c>
      <c r="H236" s="36">
        <v>3150000</v>
      </c>
      <c r="I236" s="36">
        <v>0</v>
      </c>
      <c r="J236" s="36">
        <f t="shared" si="121"/>
        <v>3150000</v>
      </c>
      <c r="K236" s="36"/>
      <c r="L236" s="36">
        <f t="shared" si="122"/>
        <v>3150000</v>
      </c>
      <c r="M236" s="36">
        <f>1450000-1000000</f>
        <v>450000</v>
      </c>
      <c r="N236" s="36">
        <v>0</v>
      </c>
      <c r="O236" s="36"/>
      <c r="P236" s="36">
        <f t="shared" si="98"/>
        <v>450000</v>
      </c>
      <c r="Q236" s="36"/>
      <c r="R236" s="36">
        <f t="shared" si="99"/>
        <v>450000</v>
      </c>
      <c r="S236" s="36"/>
      <c r="T236" s="36"/>
      <c r="U236" s="36"/>
      <c r="V236" s="36"/>
      <c r="W236" s="36"/>
      <c r="X236" s="36"/>
      <c r="Y236" s="36"/>
      <c r="Z236" s="36"/>
      <c r="AA236" s="36"/>
      <c r="AB236" s="36"/>
      <c r="AC236" s="36"/>
      <c r="AD236" s="36" t="s">
        <v>457</v>
      </c>
      <c r="AE236" s="259"/>
      <c r="AF236" s="257"/>
      <c r="AG236" s="257"/>
      <c r="AH236" s="257"/>
      <c r="AI236" s="257"/>
      <c r="AJ236" s="258"/>
    </row>
    <row r="237" spans="2:36" ht="20.399999999999999" x14ac:dyDescent="0.25">
      <c r="B237" s="84" t="s">
        <v>182</v>
      </c>
      <c r="C237" s="35"/>
      <c r="D237" s="35"/>
      <c r="E237" s="35"/>
      <c r="F237" s="35"/>
      <c r="G237" s="35" t="s">
        <v>455</v>
      </c>
      <c r="H237" s="36">
        <v>3000000</v>
      </c>
      <c r="I237" s="36">
        <v>0</v>
      </c>
      <c r="J237" s="36">
        <f t="shared" si="121"/>
        <v>3000000</v>
      </c>
      <c r="K237" s="36"/>
      <c r="L237" s="36">
        <f t="shared" si="122"/>
        <v>3000000</v>
      </c>
      <c r="M237" s="36">
        <f>1500000-500000</f>
        <v>1000000</v>
      </c>
      <c r="N237" s="36">
        <v>0</v>
      </c>
      <c r="O237" s="36"/>
      <c r="P237" s="36">
        <f t="shared" si="98"/>
        <v>1000000</v>
      </c>
      <c r="Q237" s="36"/>
      <c r="R237" s="36">
        <f t="shared" si="99"/>
        <v>1000000</v>
      </c>
      <c r="S237" s="36">
        <v>1000000</v>
      </c>
      <c r="T237" s="36">
        <v>1000000</v>
      </c>
      <c r="U237" s="36"/>
      <c r="V237" s="36"/>
      <c r="W237" s="36"/>
      <c r="X237" s="36">
        <v>2000000</v>
      </c>
      <c r="Y237" s="36"/>
      <c r="Z237" s="36"/>
      <c r="AA237" s="36"/>
      <c r="AB237" s="36"/>
      <c r="AC237" s="36"/>
      <c r="AD237" s="36" t="s">
        <v>458</v>
      </c>
      <c r="AE237" s="259"/>
      <c r="AF237" s="257"/>
      <c r="AG237" s="257"/>
      <c r="AH237" s="257"/>
      <c r="AI237" s="257"/>
      <c r="AJ237" s="258"/>
    </row>
    <row r="238" spans="2:36" x14ac:dyDescent="0.25">
      <c r="B238" s="226" t="s">
        <v>548</v>
      </c>
      <c r="C238" s="35"/>
      <c r="D238" s="35"/>
      <c r="E238" s="35"/>
      <c r="F238" s="35"/>
      <c r="G238" s="35"/>
      <c r="H238" s="36"/>
      <c r="I238" s="36">
        <v>1549680</v>
      </c>
      <c r="J238" s="36">
        <f t="shared" si="121"/>
        <v>1549680</v>
      </c>
      <c r="K238" s="36"/>
      <c r="L238" s="36">
        <f t="shared" si="122"/>
        <v>1549680</v>
      </c>
      <c r="M238" s="36"/>
      <c r="N238" s="36">
        <v>1045662</v>
      </c>
      <c r="O238" s="234">
        <v>58</v>
      </c>
      <c r="P238" s="36">
        <f t="shared" si="98"/>
        <v>1045720</v>
      </c>
      <c r="Q238" s="36"/>
      <c r="R238" s="36">
        <f t="shared" si="99"/>
        <v>1045720</v>
      </c>
      <c r="S238" s="36"/>
      <c r="T238" s="36"/>
      <c r="U238" s="36"/>
      <c r="V238" s="36"/>
      <c r="W238" s="36"/>
      <c r="X238" s="36"/>
      <c r="Y238" s="36"/>
      <c r="Z238" s="36"/>
      <c r="AA238" s="36"/>
      <c r="AB238" s="36"/>
      <c r="AC238" s="36"/>
      <c r="AD238" s="36"/>
      <c r="AE238" s="259"/>
      <c r="AF238" s="257"/>
      <c r="AG238" s="257"/>
      <c r="AH238" s="257"/>
      <c r="AI238" s="257"/>
      <c r="AJ238" s="258"/>
    </row>
    <row r="239" spans="2:36" ht="20.399999999999999" x14ac:dyDescent="0.25">
      <c r="B239" s="84" t="s">
        <v>183</v>
      </c>
      <c r="C239" s="35"/>
      <c r="D239" s="35"/>
      <c r="E239" s="35"/>
      <c r="F239" s="35"/>
      <c r="G239" s="35">
        <v>2022</v>
      </c>
      <c r="H239" s="36">
        <v>1536000</v>
      </c>
      <c r="I239" s="36">
        <v>0</v>
      </c>
      <c r="J239" s="36">
        <f t="shared" si="121"/>
        <v>1536000</v>
      </c>
      <c r="K239" s="36"/>
      <c r="L239" s="36">
        <f t="shared" si="122"/>
        <v>1536000</v>
      </c>
      <c r="M239" s="36">
        <v>1536000</v>
      </c>
      <c r="N239" s="36">
        <v>0</v>
      </c>
      <c r="O239" s="108">
        <v>11828</v>
      </c>
      <c r="P239" s="36">
        <f t="shared" si="98"/>
        <v>1547828</v>
      </c>
      <c r="Q239" s="36"/>
      <c r="R239" s="36">
        <f t="shared" si="99"/>
        <v>1547828</v>
      </c>
      <c r="S239" s="36"/>
      <c r="T239" s="36"/>
      <c r="U239" s="36"/>
      <c r="V239" s="36"/>
      <c r="W239" s="36"/>
      <c r="X239" s="36"/>
      <c r="Y239" s="36"/>
      <c r="Z239" s="36"/>
      <c r="AA239" s="36"/>
      <c r="AB239" s="36"/>
      <c r="AC239" s="36"/>
      <c r="AD239" s="36" t="s">
        <v>457</v>
      </c>
      <c r="AE239" s="259"/>
      <c r="AF239" s="257"/>
      <c r="AG239" s="257"/>
      <c r="AH239" s="257"/>
      <c r="AI239" s="257"/>
      <c r="AJ239" s="258"/>
    </row>
    <row r="240" spans="2:36" ht="30.6" x14ac:dyDescent="0.25">
      <c r="B240" s="84" t="s">
        <v>184</v>
      </c>
      <c r="C240" s="35"/>
      <c r="D240" s="35"/>
      <c r="E240" s="35"/>
      <c r="F240" s="35"/>
      <c r="G240" s="35">
        <v>2022</v>
      </c>
      <c r="H240" s="36">
        <v>400000</v>
      </c>
      <c r="I240" s="36">
        <v>0</v>
      </c>
      <c r="J240" s="36">
        <f t="shared" si="121"/>
        <v>400000</v>
      </c>
      <c r="K240" s="36"/>
      <c r="L240" s="36">
        <f t="shared" si="122"/>
        <v>400000</v>
      </c>
      <c r="M240" s="36">
        <v>400000</v>
      </c>
      <c r="N240" s="36">
        <v>0</v>
      </c>
      <c r="O240" s="36"/>
      <c r="P240" s="36">
        <f t="shared" si="98"/>
        <v>400000</v>
      </c>
      <c r="Q240" s="36"/>
      <c r="R240" s="36">
        <f t="shared" si="99"/>
        <v>400000</v>
      </c>
      <c r="S240" s="36"/>
      <c r="T240" s="36"/>
      <c r="U240" s="36"/>
      <c r="V240" s="36"/>
      <c r="W240" s="36"/>
      <c r="X240" s="36"/>
      <c r="Y240" s="36"/>
      <c r="Z240" s="36"/>
      <c r="AA240" s="36"/>
      <c r="AB240" s="36"/>
      <c r="AC240" s="36"/>
      <c r="AD240" s="36" t="s">
        <v>457</v>
      </c>
      <c r="AE240" s="259"/>
      <c r="AF240" s="257"/>
      <c r="AG240" s="257"/>
      <c r="AH240" s="257"/>
      <c r="AI240" s="257"/>
      <c r="AJ240" s="258"/>
    </row>
    <row r="241" spans="2:36" ht="20.399999999999999" x14ac:dyDescent="0.25">
      <c r="B241" s="84" t="s">
        <v>185</v>
      </c>
      <c r="C241" s="35"/>
      <c r="D241" s="35"/>
      <c r="E241" s="35"/>
      <c r="F241" s="35"/>
      <c r="G241" s="35">
        <v>2023</v>
      </c>
      <c r="H241" s="36">
        <v>900000</v>
      </c>
      <c r="I241" s="36">
        <v>0</v>
      </c>
      <c r="J241" s="36">
        <f t="shared" si="121"/>
        <v>900000</v>
      </c>
      <c r="K241" s="36"/>
      <c r="L241" s="36">
        <f t="shared" si="122"/>
        <v>900000</v>
      </c>
      <c r="M241" s="36">
        <f>70000+400000</f>
        <v>470000</v>
      </c>
      <c r="N241" s="36">
        <v>0</v>
      </c>
      <c r="O241" s="108">
        <v>29953</v>
      </c>
      <c r="P241" s="36">
        <f t="shared" si="98"/>
        <v>499953</v>
      </c>
      <c r="Q241" s="36"/>
      <c r="R241" s="36">
        <f t="shared" si="99"/>
        <v>499953</v>
      </c>
      <c r="S241" s="36">
        <v>400000</v>
      </c>
      <c r="T241" s="36"/>
      <c r="U241" s="36"/>
      <c r="V241" s="36"/>
      <c r="W241" s="36"/>
      <c r="X241" s="36">
        <v>400000</v>
      </c>
      <c r="Y241" s="36"/>
      <c r="Z241" s="36"/>
      <c r="AA241" s="36"/>
      <c r="AB241" s="36">
        <v>2023</v>
      </c>
      <c r="AC241" s="36"/>
      <c r="AD241" s="36" t="s">
        <v>459</v>
      </c>
      <c r="AE241" s="259"/>
      <c r="AF241" s="257"/>
      <c r="AG241" s="257"/>
      <c r="AH241" s="257"/>
      <c r="AI241" s="257"/>
      <c r="AJ241" s="258"/>
    </row>
    <row r="242" spans="2:36" x14ac:dyDescent="0.25">
      <c r="B242" s="84" t="s">
        <v>186</v>
      </c>
      <c r="C242" s="35"/>
      <c r="D242" s="35"/>
      <c r="E242" s="35"/>
      <c r="F242" s="35"/>
      <c r="G242" s="35">
        <v>2022</v>
      </c>
      <c r="H242" s="36">
        <v>680000</v>
      </c>
      <c r="I242" s="36">
        <v>0</v>
      </c>
      <c r="J242" s="36">
        <f t="shared" si="121"/>
        <v>680000</v>
      </c>
      <c r="K242" s="36"/>
      <c r="L242" s="36">
        <f t="shared" si="122"/>
        <v>680000</v>
      </c>
      <c r="M242" s="36">
        <f>150000+350000</f>
        <v>500000</v>
      </c>
      <c r="N242" s="36">
        <v>0</v>
      </c>
      <c r="O242" s="108">
        <v>29843</v>
      </c>
      <c r="P242" s="36">
        <f t="shared" si="98"/>
        <v>529843</v>
      </c>
      <c r="Q242" s="36"/>
      <c r="R242" s="36">
        <f t="shared" si="99"/>
        <v>529843</v>
      </c>
      <c r="S242" s="36"/>
      <c r="T242" s="36"/>
      <c r="U242" s="36"/>
      <c r="V242" s="36"/>
      <c r="W242" s="36"/>
      <c r="X242" s="36"/>
      <c r="Y242" s="36"/>
      <c r="Z242" s="36"/>
      <c r="AA242" s="36"/>
      <c r="AB242" s="36"/>
      <c r="AC242" s="36"/>
      <c r="AD242" s="36" t="s">
        <v>457</v>
      </c>
      <c r="AE242" s="259"/>
      <c r="AF242" s="257"/>
      <c r="AG242" s="257"/>
      <c r="AH242" s="257"/>
      <c r="AI242" s="257"/>
      <c r="AJ242" s="258"/>
    </row>
    <row r="243" spans="2:36" ht="20.399999999999999" x14ac:dyDescent="0.25">
      <c r="B243" s="84" t="s">
        <v>187</v>
      </c>
      <c r="C243" s="35"/>
      <c r="D243" s="35"/>
      <c r="E243" s="35"/>
      <c r="F243" s="35"/>
      <c r="G243" s="35">
        <v>2022</v>
      </c>
      <c r="H243" s="36">
        <v>500000</v>
      </c>
      <c r="I243" s="36">
        <v>652000</v>
      </c>
      <c r="J243" s="36">
        <f t="shared" si="121"/>
        <v>1152000</v>
      </c>
      <c r="K243" s="36"/>
      <c r="L243" s="36">
        <f t="shared" si="122"/>
        <v>1152000</v>
      </c>
      <c r="M243" s="36">
        <v>450000</v>
      </c>
      <c r="N243" s="36">
        <v>652000</v>
      </c>
      <c r="O243" s="108">
        <v>24123</v>
      </c>
      <c r="P243" s="36">
        <f t="shared" si="98"/>
        <v>1126123</v>
      </c>
      <c r="Q243" s="36"/>
      <c r="R243" s="36">
        <f t="shared" si="99"/>
        <v>1126123</v>
      </c>
      <c r="S243" s="36"/>
      <c r="T243" s="36"/>
      <c r="U243" s="36"/>
      <c r="V243" s="36"/>
      <c r="W243" s="36"/>
      <c r="X243" s="36"/>
      <c r="Y243" s="36"/>
      <c r="Z243" s="36"/>
      <c r="AA243" s="36"/>
      <c r="AB243" s="36"/>
      <c r="AC243" s="36"/>
      <c r="AD243" s="36" t="s">
        <v>457</v>
      </c>
      <c r="AE243" s="259"/>
      <c r="AF243" s="257"/>
      <c r="AG243" s="257"/>
      <c r="AH243" s="257"/>
      <c r="AI243" s="257"/>
      <c r="AJ243" s="258"/>
    </row>
    <row r="244" spans="2:36" x14ac:dyDescent="0.25">
      <c r="B244" s="84" t="s">
        <v>188</v>
      </c>
      <c r="C244" s="35"/>
      <c r="D244" s="35"/>
      <c r="E244" s="35"/>
      <c r="F244" s="35"/>
      <c r="G244" s="35">
        <v>2022</v>
      </c>
      <c r="H244" s="36">
        <v>400000</v>
      </c>
      <c r="I244" s="36">
        <v>0</v>
      </c>
      <c r="J244" s="36">
        <f t="shared" si="121"/>
        <v>400000</v>
      </c>
      <c r="K244" s="36"/>
      <c r="L244" s="36">
        <f t="shared" si="122"/>
        <v>400000</v>
      </c>
      <c r="M244" s="36">
        <v>370000</v>
      </c>
      <c r="N244" s="36">
        <v>0</v>
      </c>
      <c r="O244" s="108">
        <v>30000</v>
      </c>
      <c r="P244" s="36">
        <f t="shared" si="98"/>
        <v>400000</v>
      </c>
      <c r="Q244" s="36"/>
      <c r="R244" s="36">
        <f t="shared" si="99"/>
        <v>400000</v>
      </c>
      <c r="S244" s="36"/>
      <c r="T244" s="36"/>
      <c r="U244" s="36"/>
      <c r="V244" s="36"/>
      <c r="W244" s="36"/>
      <c r="X244" s="36"/>
      <c r="Y244" s="36"/>
      <c r="Z244" s="36"/>
      <c r="AA244" s="36"/>
      <c r="AB244" s="36"/>
      <c r="AC244" s="36"/>
      <c r="AD244" s="36" t="s">
        <v>457</v>
      </c>
      <c r="AE244" s="259"/>
      <c r="AF244" s="257"/>
      <c r="AG244" s="257"/>
      <c r="AH244" s="257"/>
      <c r="AI244" s="257"/>
      <c r="AJ244" s="258"/>
    </row>
    <row r="245" spans="2:36" x14ac:dyDescent="0.25">
      <c r="B245" s="84" t="s">
        <v>189</v>
      </c>
      <c r="C245" s="35"/>
      <c r="D245" s="35"/>
      <c r="E245" s="35"/>
      <c r="F245" s="35"/>
      <c r="G245" s="35">
        <v>2022</v>
      </c>
      <c r="H245" s="36">
        <v>87167</v>
      </c>
      <c r="I245" s="36">
        <v>0</v>
      </c>
      <c r="J245" s="36">
        <f t="shared" si="121"/>
        <v>87167</v>
      </c>
      <c r="K245" s="36"/>
      <c r="L245" s="36">
        <f t="shared" si="122"/>
        <v>87167</v>
      </c>
      <c r="M245" s="36">
        <v>87167</v>
      </c>
      <c r="N245" s="36">
        <v>0</v>
      </c>
      <c r="O245" s="108">
        <v>19363</v>
      </c>
      <c r="P245" s="36">
        <f t="shared" si="98"/>
        <v>106530</v>
      </c>
      <c r="Q245" s="36"/>
      <c r="R245" s="36">
        <f t="shared" si="99"/>
        <v>106530</v>
      </c>
      <c r="S245" s="36"/>
      <c r="T245" s="36"/>
      <c r="U245" s="36"/>
      <c r="V245" s="36"/>
      <c r="W245" s="36"/>
      <c r="X245" s="36"/>
      <c r="Y245" s="36"/>
      <c r="Z245" s="36"/>
      <c r="AA245" s="36"/>
      <c r="AB245" s="36"/>
      <c r="AC245" s="36"/>
      <c r="AD245" s="36"/>
      <c r="AE245" s="259"/>
      <c r="AF245" s="257"/>
      <c r="AG245" s="257"/>
      <c r="AH245" s="257"/>
      <c r="AI245" s="257"/>
      <c r="AJ245" s="258"/>
    </row>
    <row r="246" spans="2:36" x14ac:dyDescent="0.25">
      <c r="B246" s="84" t="s">
        <v>549</v>
      </c>
      <c r="C246" s="35"/>
      <c r="D246" s="35"/>
      <c r="E246" s="35"/>
      <c r="F246" s="35"/>
      <c r="G246" s="35"/>
      <c r="H246" s="36"/>
      <c r="I246" s="36">
        <v>1500000</v>
      </c>
      <c r="J246" s="36">
        <f t="shared" si="121"/>
        <v>1500000</v>
      </c>
      <c r="K246" s="36"/>
      <c r="L246" s="36">
        <f t="shared" si="122"/>
        <v>1500000</v>
      </c>
      <c r="M246" s="36"/>
      <c r="N246" s="36">
        <v>1500000</v>
      </c>
      <c r="O246" s="36"/>
      <c r="P246" s="36">
        <f t="shared" si="98"/>
        <v>1500000</v>
      </c>
      <c r="Q246" s="36"/>
      <c r="R246" s="36">
        <f t="shared" si="99"/>
        <v>1500000</v>
      </c>
      <c r="S246" s="36"/>
      <c r="T246" s="36"/>
      <c r="U246" s="36"/>
      <c r="V246" s="36"/>
      <c r="W246" s="36"/>
      <c r="X246" s="36"/>
      <c r="Y246" s="36"/>
      <c r="Z246" s="36"/>
      <c r="AA246" s="36"/>
      <c r="AB246" s="36"/>
      <c r="AC246" s="36"/>
      <c r="AD246" s="36"/>
      <c r="AE246" s="259"/>
      <c r="AF246" s="257"/>
      <c r="AG246" s="257"/>
      <c r="AH246" s="257"/>
      <c r="AI246" s="257"/>
      <c r="AJ246" s="258"/>
    </row>
    <row r="247" spans="2:36" ht="30.6" x14ac:dyDescent="0.25">
      <c r="B247" s="84" t="s">
        <v>190</v>
      </c>
      <c r="C247" s="35"/>
      <c r="D247" s="35"/>
      <c r="E247" s="35" t="s">
        <v>168</v>
      </c>
      <c r="F247" s="35"/>
      <c r="G247" s="35"/>
      <c r="H247" s="36">
        <v>1800000</v>
      </c>
      <c r="I247" s="36">
        <v>0</v>
      </c>
      <c r="J247" s="36">
        <f t="shared" si="121"/>
        <v>1800000</v>
      </c>
      <c r="K247" s="238">
        <v>3400000</v>
      </c>
      <c r="L247" s="36">
        <f t="shared" si="122"/>
        <v>5200000</v>
      </c>
      <c r="M247" s="36">
        <v>1300000</v>
      </c>
      <c r="N247" s="36">
        <v>490000</v>
      </c>
      <c r="O247" s="108">
        <v>456611</v>
      </c>
      <c r="P247" s="36">
        <f t="shared" si="98"/>
        <v>2246611</v>
      </c>
      <c r="Q247" s="36"/>
      <c r="R247" s="36">
        <f t="shared" si="99"/>
        <v>2246611</v>
      </c>
      <c r="S247" s="36">
        <v>1300000</v>
      </c>
      <c r="T247" s="36">
        <v>1300000</v>
      </c>
      <c r="U247" s="36">
        <v>1300000</v>
      </c>
      <c r="V247" s="36">
        <v>1300000</v>
      </c>
      <c r="W247" s="36"/>
      <c r="X247" s="36"/>
      <c r="Y247" s="36"/>
      <c r="Z247" s="36"/>
      <c r="AA247" s="36"/>
      <c r="AB247" s="36"/>
      <c r="AC247" s="36"/>
      <c r="AD247" s="36" t="s">
        <v>460</v>
      </c>
      <c r="AE247" s="259"/>
      <c r="AF247" s="257"/>
      <c r="AG247" s="257"/>
      <c r="AH247" s="257"/>
      <c r="AI247" s="257"/>
      <c r="AJ247" s="258"/>
    </row>
    <row r="248" spans="2:36" x14ac:dyDescent="0.25">
      <c r="B248" s="226" t="s">
        <v>550</v>
      </c>
      <c r="C248" s="35"/>
      <c r="D248" s="35"/>
      <c r="E248" s="35"/>
      <c r="F248" s="35"/>
      <c r="G248" s="35"/>
      <c r="H248" s="36"/>
      <c r="I248" s="36">
        <v>0</v>
      </c>
      <c r="J248" s="36">
        <f t="shared" si="121"/>
        <v>0</v>
      </c>
      <c r="K248" s="238"/>
      <c r="L248" s="36">
        <f t="shared" si="122"/>
        <v>0</v>
      </c>
      <c r="M248" s="36"/>
      <c r="N248" s="36">
        <v>150000</v>
      </c>
      <c r="O248" s="36"/>
      <c r="P248" s="36">
        <f t="shared" si="98"/>
        <v>150000</v>
      </c>
      <c r="Q248" s="36"/>
      <c r="R248" s="36">
        <f t="shared" si="99"/>
        <v>150000</v>
      </c>
      <c r="S248" s="36"/>
      <c r="T248" s="36"/>
      <c r="U248" s="36"/>
      <c r="V248" s="36"/>
      <c r="W248" s="36"/>
      <c r="X248" s="36"/>
      <c r="Y248" s="36"/>
      <c r="Z248" s="36"/>
      <c r="AA248" s="36"/>
      <c r="AB248" s="36"/>
      <c r="AC248" s="36"/>
      <c r="AD248" s="36"/>
      <c r="AE248" s="259"/>
      <c r="AF248" s="257"/>
      <c r="AG248" s="257"/>
      <c r="AH248" s="257"/>
      <c r="AI248" s="257"/>
      <c r="AJ248" s="258"/>
    </row>
    <row r="249" spans="2:36" ht="40.799999999999997" x14ac:dyDescent="0.25">
      <c r="B249" s="84" t="s">
        <v>191</v>
      </c>
      <c r="C249" s="35"/>
      <c r="D249" s="35"/>
      <c r="E249" s="35" t="s">
        <v>168</v>
      </c>
      <c r="F249" s="35"/>
      <c r="G249" s="35"/>
      <c r="H249" s="36">
        <v>50000</v>
      </c>
      <c r="I249" s="36">
        <v>0</v>
      </c>
      <c r="J249" s="36">
        <f t="shared" si="121"/>
        <v>50000</v>
      </c>
      <c r="K249" s="238">
        <v>13050000</v>
      </c>
      <c r="L249" s="36">
        <f t="shared" si="122"/>
        <v>13100000</v>
      </c>
      <c r="M249" s="36">
        <v>50000</v>
      </c>
      <c r="N249" s="36">
        <v>0</v>
      </c>
      <c r="O249" s="36"/>
      <c r="P249" s="36">
        <f t="shared" si="98"/>
        <v>50000</v>
      </c>
      <c r="Q249" s="36"/>
      <c r="R249" s="36">
        <f t="shared" si="99"/>
        <v>50000</v>
      </c>
      <c r="S249" s="36">
        <v>4200000</v>
      </c>
      <c r="T249" s="36">
        <v>4200000</v>
      </c>
      <c r="U249" s="36">
        <v>2900000</v>
      </c>
      <c r="V249" s="36">
        <v>1800000</v>
      </c>
      <c r="W249" s="36">
        <v>900000</v>
      </c>
      <c r="X249" s="36">
        <v>12200000</v>
      </c>
      <c r="Y249" s="36"/>
      <c r="Z249" s="36"/>
      <c r="AA249" s="36"/>
      <c r="AB249" s="36"/>
      <c r="AC249" s="36"/>
      <c r="AD249" s="36" t="s">
        <v>461</v>
      </c>
      <c r="AE249" s="259"/>
      <c r="AF249" s="257"/>
      <c r="AG249" s="257"/>
      <c r="AH249" s="257"/>
      <c r="AI249" s="257"/>
      <c r="AJ249" s="258"/>
    </row>
    <row r="250" spans="2:36" ht="30.6" x14ac:dyDescent="0.25">
      <c r="B250" s="84" t="s">
        <v>192</v>
      </c>
      <c r="C250" s="35"/>
      <c r="D250" s="35"/>
      <c r="E250" s="35" t="s">
        <v>168</v>
      </c>
      <c r="F250" s="35"/>
      <c r="G250" s="35"/>
      <c r="H250" s="36">
        <v>100000</v>
      </c>
      <c r="I250" s="36">
        <v>0</v>
      </c>
      <c r="J250" s="36">
        <f t="shared" si="121"/>
        <v>100000</v>
      </c>
      <c r="K250" s="238">
        <v>300000</v>
      </c>
      <c r="L250" s="36">
        <f t="shared" si="122"/>
        <v>400000</v>
      </c>
      <c r="M250" s="36">
        <v>100000</v>
      </c>
      <c r="N250" s="36">
        <v>0</v>
      </c>
      <c r="O250" s="108">
        <v>23674</v>
      </c>
      <c r="P250" s="36">
        <f t="shared" si="98"/>
        <v>123674</v>
      </c>
      <c r="Q250" s="36"/>
      <c r="R250" s="36">
        <f t="shared" si="99"/>
        <v>123674</v>
      </c>
      <c r="S250" s="36">
        <v>100000</v>
      </c>
      <c r="T250" s="36">
        <v>100000</v>
      </c>
      <c r="U250" s="36">
        <v>100000</v>
      </c>
      <c r="V250" s="36">
        <v>100000</v>
      </c>
      <c r="W250" s="36"/>
      <c r="X250" s="36">
        <v>400000</v>
      </c>
      <c r="Y250" s="36"/>
      <c r="Z250" s="36"/>
      <c r="AA250" s="36"/>
      <c r="AB250" s="36">
        <v>400000</v>
      </c>
      <c r="AC250" s="36"/>
      <c r="AD250" s="36" t="s">
        <v>460</v>
      </c>
      <c r="AE250" s="259"/>
      <c r="AF250" s="257"/>
      <c r="AG250" s="257"/>
      <c r="AH250" s="257"/>
      <c r="AI250" s="257"/>
      <c r="AJ250" s="258"/>
    </row>
    <row r="251" spans="2:36" x14ac:dyDescent="0.25">
      <c r="B251" s="226" t="s">
        <v>551</v>
      </c>
      <c r="C251" s="35"/>
      <c r="D251" s="35"/>
      <c r="E251" s="35"/>
      <c r="F251" s="35"/>
      <c r="G251" s="35"/>
      <c r="H251" s="36"/>
      <c r="I251" s="36">
        <v>1443000</v>
      </c>
      <c r="J251" s="36">
        <f t="shared" si="121"/>
        <v>1443000</v>
      </c>
      <c r="K251" s="238"/>
      <c r="L251" s="36">
        <f t="shared" si="122"/>
        <v>1443000</v>
      </c>
      <c r="M251" s="36"/>
      <c r="N251" s="36">
        <v>1243080</v>
      </c>
      <c r="O251" s="108">
        <v>206013</v>
      </c>
      <c r="P251" s="36">
        <f t="shared" si="98"/>
        <v>1449093</v>
      </c>
      <c r="Q251" s="36"/>
      <c r="R251" s="36">
        <f t="shared" si="99"/>
        <v>1449093</v>
      </c>
      <c r="S251" s="36"/>
      <c r="T251" s="36"/>
      <c r="U251" s="36"/>
      <c r="V251" s="36"/>
      <c r="W251" s="36"/>
      <c r="X251" s="36"/>
      <c r="Y251" s="36"/>
      <c r="Z251" s="36"/>
      <c r="AA251" s="36"/>
      <c r="AB251" s="36"/>
      <c r="AC251" s="36"/>
      <c r="AD251" s="36"/>
      <c r="AE251" s="259"/>
      <c r="AF251" s="257"/>
      <c r="AG251" s="257"/>
      <c r="AH251" s="257"/>
      <c r="AI251" s="257"/>
      <c r="AJ251" s="258"/>
    </row>
    <row r="252" spans="2:36" ht="30.6" x14ac:dyDescent="0.25">
      <c r="B252" s="84" t="s">
        <v>193</v>
      </c>
      <c r="C252" s="35"/>
      <c r="D252" s="35"/>
      <c r="E252" s="35"/>
      <c r="F252" s="35"/>
      <c r="G252" s="35"/>
      <c r="H252" s="36">
        <v>5200000</v>
      </c>
      <c r="I252" s="36">
        <v>0</v>
      </c>
      <c r="J252" s="36">
        <f t="shared" si="121"/>
        <v>5200000</v>
      </c>
      <c r="K252" s="36">
        <v>6800000</v>
      </c>
      <c r="L252" s="36">
        <f t="shared" si="122"/>
        <v>12000000</v>
      </c>
      <c r="M252" s="36">
        <v>2400000</v>
      </c>
      <c r="N252" s="36">
        <v>0</v>
      </c>
      <c r="O252" s="108">
        <v>35051</v>
      </c>
      <c r="P252" s="36">
        <f t="shared" si="98"/>
        <v>2435051</v>
      </c>
      <c r="Q252" s="36"/>
      <c r="R252" s="36">
        <f t="shared" si="99"/>
        <v>2435051</v>
      </c>
      <c r="S252" s="36">
        <v>2400000</v>
      </c>
      <c r="T252" s="36">
        <v>2400000</v>
      </c>
      <c r="U252" s="36">
        <v>2400000</v>
      </c>
      <c r="V252" s="36">
        <v>2400000</v>
      </c>
      <c r="W252" s="36"/>
      <c r="X252" s="36"/>
      <c r="Y252" s="36"/>
      <c r="Z252" s="36"/>
      <c r="AA252" s="36"/>
      <c r="AB252" s="36"/>
      <c r="AC252" s="36"/>
      <c r="AD252" s="36" t="s">
        <v>516</v>
      </c>
      <c r="AE252" s="259"/>
      <c r="AF252" s="257"/>
      <c r="AG252" s="257"/>
      <c r="AH252" s="257"/>
      <c r="AI252" s="257"/>
      <c r="AJ252" s="258"/>
    </row>
    <row r="253" spans="2:36" ht="30.6" x14ac:dyDescent="0.25">
      <c r="B253" s="84" t="s">
        <v>194</v>
      </c>
      <c r="C253" s="35"/>
      <c r="D253" s="35"/>
      <c r="E253" s="35"/>
      <c r="F253" s="35"/>
      <c r="G253" s="35"/>
      <c r="H253" s="36">
        <v>33000000</v>
      </c>
      <c r="I253" s="36">
        <v>0</v>
      </c>
      <c r="J253" s="36">
        <f t="shared" si="121"/>
        <v>33000000</v>
      </c>
      <c r="K253" s="36"/>
      <c r="L253" s="36">
        <f t="shared" si="122"/>
        <v>33000000</v>
      </c>
      <c r="M253" s="36">
        <f>8000000-1500000</f>
        <v>6500000</v>
      </c>
      <c r="N253" s="36">
        <v>0</v>
      </c>
      <c r="O253" s="36"/>
      <c r="P253" s="36">
        <f t="shared" si="98"/>
        <v>6500000</v>
      </c>
      <c r="Q253" s="36"/>
      <c r="R253" s="36">
        <f t="shared" si="99"/>
        <v>6500000</v>
      </c>
      <c r="S253" s="238">
        <v>6500000</v>
      </c>
      <c r="T253" s="238">
        <v>6500000</v>
      </c>
      <c r="U253" s="238">
        <v>6500000</v>
      </c>
      <c r="V253" s="238">
        <v>6500000</v>
      </c>
      <c r="W253" s="36"/>
      <c r="X253" s="36"/>
      <c r="Y253" s="36"/>
      <c r="Z253" s="36"/>
      <c r="AA253" s="36"/>
      <c r="AB253" s="36"/>
      <c r="AC253" s="36"/>
      <c r="AD253" s="36" t="s">
        <v>462</v>
      </c>
      <c r="AE253" s="259"/>
      <c r="AF253" s="257"/>
      <c r="AG253" s="257"/>
      <c r="AH253" s="257"/>
      <c r="AI253" s="257"/>
      <c r="AJ253" s="258"/>
    </row>
    <row r="254" spans="2:36" ht="61.2" x14ac:dyDescent="0.25">
      <c r="B254" s="84" t="s">
        <v>195</v>
      </c>
      <c r="C254" s="35"/>
      <c r="D254" s="35"/>
      <c r="E254" s="35"/>
      <c r="F254" s="35"/>
      <c r="G254" s="35"/>
      <c r="H254" s="36">
        <v>150665000</v>
      </c>
      <c r="I254" s="36">
        <v>0</v>
      </c>
      <c r="J254" s="36">
        <f t="shared" si="121"/>
        <v>150665000</v>
      </c>
      <c r="K254" s="36"/>
      <c r="L254" s="36">
        <f t="shared" si="122"/>
        <v>150665000</v>
      </c>
      <c r="M254" s="36">
        <f>22475000-6300000+500000</f>
        <v>16675000</v>
      </c>
      <c r="N254" s="36">
        <v>-8000000</v>
      </c>
      <c r="O254" s="36"/>
      <c r="P254" s="36">
        <f t="shared" si="98"/>
        <v>8675000</v>
      </c>
      <c r="Q254" s="36"/>
      <c r="R254" s="36">
        <f t="shared" si="99"/>
        <v>8675000</v>
      </c>
      <c r="S254" s="238">
        <v>5000000</v>
      </c>
      <c r="T254" s="238"/>
      <c r="U254" s="238"/>
      <c r="V254" s="238"/>
      <c r="W254" s="36"/>
      <c r="X254" s="36"/>
      <c r="Y254" s="36"/>
      <c r="Z254" s="36"/>
      <c r="AA254" s="36"/>
      <c r="AB254" s="36"/>
      <c r="AC254" s="36"/>
      <c r="AD254" s="36" t="s">
        <v>517</v>
      </c>
      <c r="AE254" s="259"/>
      <c r="AF254" s="257"/>
      <c r="AG254" s="257"/>
      <c r="AH254" s="257"/>
      <c r="AI254" s="257"/>
      <c r="AJ254" s="258"/>
    </row>
    <row r="255" spans="2:36" ht="15.6" x14ac:dyDescent="0.25">
      <c r="B255" s="79" t="s">
        <v>584</v>
      </c>
      <c r="C255" s="79" t="s">
        <v>3</v>
      </c>
      <c r="D255" s="79"/>
      <c r="E255" s="79"/>
      <c r="F255" s="79"/>
      <c r="G255" s="79"/>
      <c r="H255" s="80">
        <f>SUM(H256:H257)</f>
        <v>15109200</v>
      </c>
      <c r="I255" s="80">
        <f>SUM(I256:I257)</f>
        <v>1951611</v>
      </c>
      <c r="J255" s="80">
        <f t="shared" si="121"/>
        <v>17060811</v>
      </c>
      <c r="K255" s="80"/>
      <c r="L255" s="80">
        <f t="shared" si="122"/>
        <v>17060811</v>
      </c>
      <c r="M255" s="80">
        <f t="shared" ref="M255" si="130">SUM(M256:M257)</f>
        <v>5753290</v>
      </c>
      <c r="N255" s="80">
        <f>SUM(N256:N257)</f>
        <v>-180000</v>
      </c>
      <c r="O255" s="80">
        <f>SUM(O256:O257)</f>
        <v>671076</v>
      </c>
      <c r="P255" s="80">
        <f t="shared" si="98"/>
        <v>6244366</v>
      </c>
      <c r="Q255" s="80"/>
      <c r="R255" s="80">
        <f t="shared" si="99"/>
        <v>6244366</v>
      </c>
      <c r="S255" s="80">
        <f t="shared" ref="S255:Z255" si="131">SUM(S256:S257)</f>
        <v>1500000</v>
      </c>
      <c r="T255" s="80">
        <f t="shared" si="131"/>
        <v>1500000</v>
      </c>
      <c r="U255" s="80">
        <f t="shared" si="131"/>
        <v>0</v>
      </c>
      <c r="V255" s="80">
        <f t="shared" si="131"/>
        <v>0</v>
      </c>
      <c r="W255" s="80">
        <f t="shared" si="131"/>
        <v>0</v>
      </c>
      <c r="X255" s="80">
        <f t="shared" si="131"/>
        <v>3000000</v>
      </c>
      <c r="Y255" s="80">
        <f t="shared" si="131"/>
        <v>0</v>
      </c>
      <c r="Z255" s="80">
        <f t="shared" si="131"/>
        <v>0</v>
      </c>
      <c r="AA255" s="80"/>
      <c r="AB255" s="80"/>
      <c r="AC255" s="80"/>
      <c r="AD255" s="175"/>
      <c r="AE255" s="259"/>
      <c r="AF255" s="257"/>
      <c r="AG255" s="257"/>
      <c r="AH255" s="257"/>
      <c r="AI255" s="257"/>
      <c r="AJ255" s="258"/>
    </row>
    <row r="256" spans="2:36" x14ac:dyDescent="0.25">
      <c r="B256" s="47" t="s">
        <v>30</v>
      </c>
      <c r="C256" s="31" t="s">
        <v>0</v>
      </c>
      <c r="D256" s="31"/>
      <c r="E256" s="31"/>
      <c r="F256" s="31"/>
      <c r="G256" s="31"/>
      <c r="H256" s="32">
        <f>H259+H262+H264+H268+H266+H267+H265</f>
        <v>13840490</v>
      </c>
      <c r="I256" s="32">
        <f>I259+I262+I264+I268+I266+I267+I265</f>
        <v>402342</v>
      </c>
      <c r="J256" s="32">
        <f t="shared" si="121"/>
        <v>14242832</v>
      </c>
      <c r="K256" s="32"/>
      <c r="L256" s="32">
        <f t="shared" si="122"/>
        <v>14242832</v>
      </c>
      <c r="M256" s="32">
        <f>M262+M264+M268+M266+M267+M265</f>
        <v>5157290</v>
      </c>
      <c r="N256" s="32">
        <f>N259+N262+N264+N268+N266+N267+N265</f>
        <v>-180000</v>
      </c>
      <c r="O256" s="32">
        <f>O259+O262+O264+O268+O266+O267+O265</f>
        <v>203398</v>
      </c>
      <c r="P256" s="32">
        <f t="shared" si="98"/>
        <v>5180688</v>
      </c>
      <c r="Q256" s="32"/>
      <c r="R256" s="32">
        <f t="shared" si="99"/>
        <v>5180688</v>
      </c>
      <c r="S256" s="32">
        <f t="shared" ref="S256:Z256" si="132">S259+S262+S264+S268+S266+S267+S265</f>
        <v>1500000</v>
      </c>
      <c r="T256" s="32">
        <f t="shared" si="132"/>
        <v>1500000</v>
      </c>
      <c r="U256" s="32">
        <f t="shared" si="132"/>
        <v>0</v>
      </c>
      <c r="V256" s="32">
        <f t="shared" si="132"/>
        <v>0</v>
      </c>
      <c r="W256" s="32">
        <f t="shared" si="132"/>
        <v>0</v>
      </c>
      <c r="X256" s="32">
        <f t="shared" si="132"/>
        <v>3000000</v>
      </c>
      <c r="Y256" s="32">
        <f t="shared" si="132"/>
        <v>0</v>
      </c>
      <c r="Z256" s="32">
        <f t="shared" si="132"/>
        <v>0</v>
      </c>
      <c r="AA256" s="32"/>
      <c r="AB256" s="32"/>
      <c r="AC256" s="32"/>
      <c r="AD256" s="36"/>
      <c r="AE256" s="259"/>
      <c r="AF256" s="257"/>
      <c r="AG256" s="257"/>
      <c r="AH256" s="257"/>
      <c r="AI256" s="257"/>
      <c r="AJ256" s="258"/>
    </row>
    <row r="257" spans="2:36" x14ac:dyDescent="0.25">
      <c r="B257" s="83"/>
      <c r="C257" s="31" t="s">
        <v>33</v>
      </c>
      <c r="D257" s="31"/>
      <c r="E257" s="31"/>
      <c r="F257" s="31"/>
      <c r="G257" s="31"/>
      <c r="H257" s="32">
        <f>H260+H263</f>
        <v>1268710</v>
      </c>
      <c r="I257" s="32">
        <f>I260+I263</f>
        <v>1549269</v>
      </c>
      <c r="J257" s="32">
        <f t="shared" si="121"/>
        <v>2817979</v>
      </c>
      <c r="K257" s="32"/>
      <c r="L257" s="32">
        <f t="shared" si="122"/>
        <v>2817979</v>
      </c>
      <c r="M257" s="32">
        <f>M263</f>
        <v>596000</v>
      </c>
      <c r="N257" s="32">
        <f>N260+N263</f>
        <v>0</v>
      </c>
      <c r="O257" s="32">
        <f>O260+O263</f>
        <v>467678</v>
      </c>
      <c r="P257" s="32">
        <f t="shared" si="98"/>
        <v>1063678</v>
      </c>
      <c r="Q257" s="32"/>
      <c r="R257" s="32">
        <f t="shared" si="99"/>
        <v>1063678</v>
      </c>
      <c r="S257" s="32">
        <f t="shared" ref="S257:Z257" si="133">S260+S263</f>
        <v>0</v>
      </c>
      <c r="T257" s="32">
        <f t="shared" si="133"/>
        <v>0</v>
      </c>
      <c r="U257" s="32">
        <f t="shared" si="133"/>
        <v>0</v>
      </c>
      <c r="V257" s="32">
        <f t="shared" si="133"/>
        <v>0</v>
      </c>
      <c r="W257" s="32">
        <f t="shared" si="133"/>
        <v>0</v>
      </c>
      <c r="X257" s="32">
        <f t="shared" si="133"/>
        <v>0</v>
      </c>
      <c r="Y257" s="32">
        <f t="shared" si="133"/>
        <v>0</v>
      </c>
      <c r="Z257" s="32">
        <f t="shared" si="133"/>
        <v>0</v>
      </c>
      <c r="AA257" s="32"/>
      <c r="AB257" s="32"/>
      <c r="AC257" s="32"/>
      <c r="AD257" s="36"/>
      <c r="AE257" s="259"/>
      <c r="AF257" s="257"/>
      <c r="AG257" s="257"/>
      <c r="AH257" s="257"/>
      <c r="AI257" s="257"/>
      <c r="AJ257" s="258"/>
    </row>
    <row r="258" spans="2:36" ht="20.399999999999999" x14ac:dyDescent="0.25">
      <c r="B258" s="226" t="s">
        <v>552</v>
      </c>
      <c r="C258" s="218" t="s">
        <v>3</v>
      </c>
      <c r="D258" s="218" t="s">
        <v>91</v>
      </c>
      <c r="E258" s="31"/>
      <c r="F258" s="31"/>
      <c r="G258" s="31"/>
      <c r="H258" s="32"/>
      <c r="I258" s="36">
        <f>I259+I260</f>
        <v>1951611</v>
      </c>
      <c r="J258" s="36">
        <f t="shared" si="121"/>
        <v>1951611</v>
      </c>
      <c r="K258" s="32"/>
      <c r="L258" s="36">
        <f t="shared" si="122"/>
        <v>1951611</v>
      </c>
      <c r="M258" s="32"/>
      <c r="N258" s="36">
        <v>120000</v>
      </c>
      <c r="O258" s="108">
        <v>457378</v>
      </c>
      <c r="P258" s="32">
        <f t="shared" si="98"/>
        <v>577378</v>
      </c>
      <c r="Q258" s="32"/>
      <c r="R258" s="32">
        <f t="shared" si="99"/>
        <v>577378</v>
      </c>
      <c r="S258" s="32"/>
      <c r="T258" s="32"/>
      <c r="U258" s="32"/>
      <c r="V258" s="32"/>
      <c r="W258" s="32"/>
      <c r="X258" s="32"/>
      <c r="Y258" s="32"/>
      <c r="Z258" s="32"/>
      <c r="AA258" s="32"/>
      <c r="AB258" s="32"/>
      <c r="AC258" s="32"/>
      <c r="AD258" s="36"/>
      <c r="AE258" s="259"/>
      <c r="AF258" s="257"/>
      <c r="AG258" s="257"/>
      <c r="AH258" s="257"/>
      <c r="AI258" s="257"/>
      <c r="AJ258" s="258"/>
    </row>
    <row r="259" spans="2:36" x14ac:dyDescent="0.25">
      <c r="B259" s="227"/>
      <c r="C259" s="218" t="s">
        <v>0</v>
      </c>
      <c r="D259" s="218"/>
      <c r="E259" s="31"/>
      <c r="F259" s="31"/>
      <c r="G259" s="31"/>
      <c r="H259" s="32"/>
      <c r="I259" s="36">
        <v>402342</v>
      </c>
      <c r="J259" s="36">
        <f t="shared" si="121"/>
        <v>402342</v>
      </c>
      <c r="K259" s="32"/>
      <c r="L259" s="36">
        <f t="shared" si="122"/>
        <v>402342</v>
      </c>
      <c r="M259" s="32"/>
      <c r="N259" s="36">
        <v>120000</v>
      </c>
      <c r="O259" s="108">
        <v>77849</v>
      </c>
      <c r="P259" s="32">
        <f t="shared" si="98"/>
        <v>197849</v>
      </c>
      <c r="Q259" s="32"/>
      <c r="R259" s="32">
        <f t="shared" si="99"/>
        <v>197849</v>
      </c>
      <c r="S259" s="32"/>
      <c r="T259" s="32"/>
      <c r="U259" s="32"/>
      <c r="V259" s="32"/>
      <c r="W259" s="32"/>
      <c r="X259" s="32"/>
      <c r="Y259" s="32"/>
      <c r="Z259" s="32"/>
      <c r="AA259" s="32"/>
      <c r="AB259" s="32"/>
      <c r="AC259" s="32"/>
      <c r="AD259" s="36"/>
      <c r="AE259" s="259"/>
      <c r="AF259" s="257"/>
      <c r="AG259" s="257"/>
      <c r="AH259" s="257"/>
      <c r="AI259" s="257"/>
      <c r="AJ259" s="258"/>
    </row>
    <row r="260" spans="2:36" x14ac:dyDescent="0.25">
      <c r="B260" s="226"/>
      <c r="C260" s="218" t="s">
        <v>33</v>
      </c>
      <c r="D260" s="218"/>
      <c r="E260" s="31"/>
      <c r="F260" s="31"/>
      <c r="G260" s="31"/>
      <c r="H260" s="32"/>
      <c r="I260" s="36">
        <v>1549269</v>
      </c>
      <c r="J260" s="36">
        <f t="shared" si="121"/>
        <v>1549269</v>
      </c>
      <c r="K260" s="32"/>
      <c r="L260" s="36">
        <f t="shared" si="122"/>
        <v>1549269</v>
      </c>
      <c r="M260" s="32"/>
      <c r="N260" s="32">
        <v>0</v>
      </c>
      <c r="O260" s="108">
        <v>379529</v>
      </c>
      <c r="P260" s="32">
        <f t="shared" si="98"/>
        <v>379529</v>
      </c>
      <c r="Q260" s="32"/>
      <c r="R260" s="32">
        <f t="shared" si="99"/>
        <v>379529</v>
      </c>
      <c r="S260" s="32"/>
      <c r="T260" s="32"/>
      <c r="U260" s="32"/>
      <c r="V260" s="32"/>
      <c r="W260" s="32"/>
      <c r="X260" s="32"/>
      <c r="Y260" s="32"/>
      <c r="Z260" s="32"/>
      <c r="AA260" s="32"/>
      <c r="AB260" s="32"/>
      <c r="AC260" s="32"/>
      <c r="AD260" s="36"/>
      <c r="AE260" s="259"/>
      <c r="AF260" s="257"/>
      <c r="AG260" s="257"/>
      <c r="AH260" s="257"/>
      <c r="AI260" s="257"/>
      <c r="AJ260" s="258"/>
    </row>
    <row r="261" spans="2:36" ht="20.399999999999999" x14ac:dyDescent="0.25">
      <c r="B261" s="84" t="s">
        <v>196</v>
      </c>
      <c r="C261" s="35" t="s">
        <v>3</v>
      </c>
      <c r="D261" s="35" t="s">
        <v>91</v>
      </c>
      <c r="E261" s="35"/>
      <c r="F261" s="35"/>
      <c r="G261" s="35" t="s">
        <v>463</v>
      </c>
      <c r="H261" s="36">
        <f>H262+H263</f>
        <v>2700000</v>
      </c>
      <c r="I261" s="36">
        <v>0</v>
      </c>
      <c r="J261" s="36">
        <f t="shared" si="121"/>
        <v>2700000</v>
      </c>
      <c r="K261" s="36"/>
      <c r="L261" s="36">
        <f t="shared" si="122"/>
        <v>2700000</v>
      </c>
      <c r="M261" s="36">
        <f>M262+M263</f>
        <v>1347290</v>
      </c>
      <c r="N261" s="36">
        <v>0</v>
      </c>
      <c r="O261" s="108">
        <v>113698</v>
      </c>
      <c r="P261" s="36">
        <f t="shared" si="98"/>
        <v>1460988</v>
      </c>
      <c r="Q261" s="36"/>
      <c r="R261" s="36">
        <f t="shared" si="99"/>
        <v>1460988</v>
      </c>
      <c r="S261" s="36"/>
      <c r="T261" s="36"/>
      <c r="U261" s="36"/>
      <c r="V261" s="36"/>
      <c r="W261" s="36"/>
      <c r="X261" s="36"/>
      <c r="Y261" s="36"/>
      <c r="Z261" s="36"/>
      <c r="AA261" s="36"/>
      <c r="AB261" s="36"/>
      <c r="AC261" s="36"/>
      <c r="AD261" s="36"/>
      <c r="AE261" s="259"/>
      <c r="AF261" s="257"/>
      <c r="AG261" s="257"/>
      <c r="AH261" s="257"/>
      <c r="AI261" s="257"/>
      <c r="AJ261" s="258"/>
    </row>
    <row r="262" spans="2:36" x14ac:dyDescent="0.25">
      <c r="B262" s="93" t="s">
        <v>30</v>
      </c>
      <c r="C262" s="35" t="s">
        <v>0</v>
      </c>
      <c r="D262" s="35"/>
      <c r="E262" s="35"/>
      <c r="F262" s="35"/>
      <c r="G262" s="35"/>
      <c r="H262" s="36">
        <v>1431290</v>
      </c>
      <c r="I262" s="36">
        <v>0</v>
      </c>
      <c r="J262" s="36">
        <f t="shared" si="121"/>
        <v>1431290</v>
      </c>
      <c r="K262" s="36"/>
      <c r="L262" s="36">
        <f t="shared" si="122"/>
        <v>1431290</v>
      </c>
      <c r="M262" s="36">
        <v>751290</v>
      </c>
      <c r="N262" s="36">
        <v>0</v>
      </c>
      <c r="O262" s="108">
        <v>25549</v>
      </c>
      <c r="P262" s="36">
        <f t="shared" ref="P262:P325" si="134">M262+N262+O262</f>
        <v>776839</v>
      </c>
      <c r="Q262" s="36"/>
      <c r="R262" s="36">
        <f t="shared" si="99"/>
        <v>776839</v>
      </c>
      <c r="S262" s="36"/>
      <c r="T262" s="36"/>
      <c r="U262" s="36"/>
      <c r="V262" s="36"/>
      <c r="W262" s="36"/>
      <c r="X262" s="36"/>
      <c r="Y262" s="36"/>
      <c r="Z262" s="36"/>
      <c r="AA262" s="36"/>
      <c r="AB262" s="36"/>
      <c r="AC262" s="36"/>
      <c r="AD262" s="36"/>
      <c r="AE262" s="259"/>
      <c r="AF262" s="257"/>
      <c r="AG262" s="257"/>
      <c r="AH262" s="257"/>
      <c r="AI262" s="257"/>
      <c r="AJ262" s="258"/>
    </row>
    <row r="263" spans="2:36" x14ac:dyDescent="0.25">
      <c r="B263" s="84"/>
      <c r="C263" s="35" t="s">
        <v>33</v>
      </c>
      <c r="D263" s="35"/>
      <c r="E263" s="35"/>
      <c r="F263" s="35"/>
      <c r="G263" s="35"/>
      <c r="H263" s="36">
        <v>1268710</v>
      </c>
      <c r="I263" s="36">
        <v>0</v>
      </c>
      <c r="J263" s="36">
        <f t="shared" si="121"/>
        <v>1268710</v>
      </c>
      <c r="K263" s="36"/>
      <c r="L263" s="36">
        <f t="shared" si="122"/>
        <v>1268710</v>
      </c>
      <c r="M263" s="36">
        <v>596000</v>
      </c>
      <c r="N263" s="36">
        <v>0</v>
      </c>
      <c r="O263" s="108">
        <v>88149</v>
      </c>
      <c r="P263" s="36">
        <f t="shared" si="134"/>
        <v>684149</v>
      </c>
      <c r="Q263" s="36"/>
      <c r="R263" s="36">
        <f t="shared" ref="R263:R326" si="135">P263+Q263</f>
        <v>684149</v>
      </c>
      <c r="S263" s="36"/>
      <c r="T263" s="36"/>
      <c r="U263" s="36"/>
      <c r="V263" s="36"/>
      <c r="W263" s="36"/>
      <c r="X263" s="36"/>
      <c r="Y263" s="36"/>
      <c r="Z263" s="36"/>
      <c r="AA263" s="36"/>
      <c r="AB263" s="36"/>
      <c r="AC263" s="36"/>
      <c r="AD263" s="36"/>
      <c r="AE263" s="259"/>
      <c r="AF263" s="257"/>
      <c r="AG263" s="257"/>
      <c r="AH263" s="257"/>
      <c r="AI263" s="257"/>
      <c r="AJ263" s="258"/>
    </row>
    <row r="264" spans="2:36" ht="30.6" x14ac:dyDescent="0.25">
      <c r="B264" s="84" t="s">
        <v>197</v>
      </c>
      <c r="C264" s="35" t="s">
        <v>0</v>
      </c>
      <c r="D264" s="35" t="s">
        <v>91</v>
      </c>
      <c r="E264" s="35"/>
      <c r="F264" s="35"/>
      <c r="G264" s="35">
        <v>2022</v>
      </c>
      <c r="H264" s="36">
        <v>1100000</v>
      </c>
      <c r="I264" s="36">
        <v>0</v>
      </c>
      <c r="J264" s="36">
        <f t="shared" si="121"/>
        <v>1100000</v>
      </c>
      <c r="K264" s="36"/>
      <c r="L264" s="36">
        <f t="shared" si="122"/>
        <v>1100000</v>
      </c>
      <c r="M264" s="36">
        <v>880000</v>
      </c>
      <c r="N264" s="36">
        <v>-300000</v>
      </c>
      <c r="O264" s="108">
        <v>100000</v>
      </c>
      <c r="P264" s="36">
        <f t="shared" si="134"/>
        <v>680000</v>
      </c>
      <c r="Q264" s="36"/>
      <c r="R264" s="36">
        <f t="shared" si="135"/>
        <v>680000</v>
      </c>
      <c r="S264" s="36"/>
      <c r="T264" s="36"/>
      <c r="U264" s="36"/>
      <c r="V264" s="36"/>
      <c r="W264" s="36"/>
      <c r="X264" s="36"/>
      <c r="Y264" s="36"/>
      <c r="Z264" s="36"/>
      <c r="AA264" s="36"/>
      <c r="AB264" s="36"/>
      <c r="AC264" s="36"/>
      <c r="AD264" s="36" t="s">
        <v>518</v>
      </c>
      <c r="AE264" s="259"/>
      <c r="AF264" s="257"/>
      <c r="AG264" s="257"/>
      <c r="AH264" s="257"/>
      <c r="AI264" s="257"/>
      <c r="AJ264" s="258"/>
    </row>
    <row r="265" spans="2:36" ht="24.6" x14ac:dyDescent="0.25">
      <c r="B265" s="97" t="s">
        <v>198</v>
      </c>
      <c r="C265" s="98" t="s">
        <v>0</v>
      </c>
      <c r="D265" s="98" t="s">
        <v>91</v>
      </c>
      <c r="E265" s="98"/>
      <c r="F265" s="98"/>
      <c r="G265" s="98">
        <v>2023</v>
      </c>
      <c r="H265" s="99">
        <v>126000</v>
      </c>
      <c r="I265" s="99">
        <v>0</v>
      </c>
      <c r="J265" s="99">
        <f t="shared" si="121"/>
        <v>126000</v>
      </c>
      <c r="K265" s="99"/>
      <c r="L265" s="99">
        <f t="shared" si="122"/>
        <v>126000</v>
      </c>
      <c r="M265" s="99">
        <v>126000</v>
      </c>
      <c r="N265" s="99">
        <v>0</v>
      </c>
      <c r="O265" s="99"/>
      <c r="P265" s="99">
        <f t="shared" si="134"/>
        <v>126000</v>
      </c>
      <c r="Q265" s="99"/>
      <c r="R265" s="99">
        <f t="shared" si="135"/>
        <v>126000</v>
      </c>
      <c r="S265" s="99"/>
      <c r="T265" s="99"/>
      <c r="U265" s="99"/>
      <c r="V265" s="99"/>
      <c r="W265" s="99"/>
      <c r="X265" s="99"/>
      <c r="Y265" s="99"/>
      <c r="Z265" s="99"/>
      <c r="AA265" s="99"/>
      <c r="AB265" s="99"/>
      <c r="AC265" s="99"/>
      <c r="AD265" s="99" t="s">
        <v>519</v>
      </c>
      <c r="AE265" s="259"/>
      <c r="AF265" s="257"/>
      <c r="AG265" s="257"/>
      <c r="AH265" s="257"/>
      <c r="AI265" s="257"/>
      <c r="AJ265" s="258"/>
    </row>
    <row r="266" spans="2:36" s="1" customFormat="1" ht="30.6" x14ac:dyDescent="0.25">
      <c r="B266" s="97" t="s">
        <v>199</v>
      </c>
      <c r="C266" s="98" t="s">
        <v>0</v>
      </c>
      <c r="D266" s="98" t="s">
        <v>91</v>
      </c>
      <c r="E266" s="98"/>
      <c r="F266" s="98"/>
      <c r="G266" s="98" t="s">
        <v>455</v>
      </c>
      <c r="H266" s="99">
        <v>5000000</v>
      </c>
      <c r="I266" s="99">
        <v>0</v>
      </c>
      <c r="J266" s="99">
        <f t="shared" si="121"/>
        <v>5000000</v>
      </c>
      <c r="K266" s="99"/>
      <c r="L266" s="99">
        <f t="shared" si="122"/>
        <v>5000000</v>
      </c>
      <c r="M266" s="99">
        <v>1500000</v>
      </c>
      <c r="N266" s="99">
        <v>0</v>
      </c>
      <c r="O266" s="99"/>
      <c r="P266" s="99">
        <f t="shared" si="134"/>
        <v>1500000</v>
      </c>
      <c r="Q266" s="99"/>
      <c r="R266" s="99">
        <f t="shared" si="135"/>
        <v>1500000</v>
      </c>
      <c r="S266" s="99">
        <v>1500000</v>
      </c>
      <c r="T266" s="99">
        <v>1500000</v>
      </c>
      <c r="U266" s="99"/>
      <c r="V266" s="99"/>
      <c r="W266" s="99"/>
      <c r="X266" s="99">
        <v>3000000</v>
      </c>
      <c r="Y266" s="99"/>
      <c r="Z266" s="99"/>
      <c r="AA266" s="99"/>
      <c r="AB266" s="99"/>
      <c r="AC266" s="99"/>
      <c r="AD266" s="99" t="s">
        <v>520</v>
      </c>
      <c r="AE266" s="259"/>
      <c r="AF266" s="260"/>
      <c r="AG266" s="260"/>
      <c r="AH266" s="260"/>
      <c r="AI266" s="260"/>
      <c r="AJ266" s="258"/>
    </row>
    <row r="267" spans="2:36" ht="24.6" x14ac:dyDescent="0.25">
      <c r="B267" s="97" t="s">
        <v>200</v>
      </c>
      <c r="C267" s="98" t="s">
        <v>0</v>
      </c>
      <c r="D267" s="98" t="s">
        <v>91</v>
      </c>
      <c r="E267" s="98"/>
      <c r="F267" s="98"/>
      <c r="G267" s="98">
        <v>2022</v>
      </c>
      <c r="H267" s="99">
        <f>550000+1000000</f>
        <v>1550000</v>
      </c>
      <c r="I267" s="99">
        <v>0</v>
      </c>
      <c r="J267" s="99">
        <f t="shared" si="121"/>
        <v>1550000</v>
      </c>
      <c r="K267" s="99"/>
      <c r="L267" s="99">
        <f t="shared" si="122"/>
        <v>1550000</v>
      </c>
      <c r="M267" s="99">
        <f>550000+1000000</f>
        <v>1550000</v>
      </c>
      <c r="N267" s="99">
        <v>0</v>
      </c>
      <c r="O267" s="99"/>
      <c r="P267" s="99">
        <f t="shared" si="134"/>
        <v>1550000</v>
      </c>
      <c r="Q267" s="99"/>
      <c r="R267" s="99">
        <f t="shared" si="135"/>
        <v>1550000</v>
      </c>
      <c r="S267" s="99"/>
      <c r="T267" s="99"/>
      <c r="U267" s="99"/>
      <c r="V267" s="99"/>
      <c r="W267" s="99"/>
      <c r="X267" s="99"/>
      <c r="Y267" s="99"/>
      <c r="Z267" s="99"/>
      <c r="AA267" s="99"/>
      <c r="AB267" s="99"/>
      <c r="AC267" s="99"/>
      <c r="AD267" s="99" t="s">
        <v>521</v>
      </c>
      <c r="AE267" s="259"/>
      <c r="AF267" s="257"/>
      <c r="AG267" s="257"/>
      <c r="AH267" s="257"/>
      <c r="AI267" s="257"/>
      <c r="AJ267" s="258"/>
    </row>
    <row r="268" spans="2:36" s="1" customFormat="1" x14ac:dyDescent="0.25">
      <c r="B268" s="97" t="s">
        <v>201</v>
      </c>
      <c r="C268" s="98" t="s">
        <v>0</v>
      </c>
      <c r="D268" s="98" t="s">
        <v>91</v>
      </c>
      <c r="E268" s="98"/>
      <c r="F268" s="98"/>
      <c r="G268" s="98" t="s">
        <v>464</v>
      </c>
      <c r="H268" s="99">
        <f>4533200+100000</f>
        <v>4633200</v>
      </c>
      <c r="I268" s="99">
        <v>0</v>
      </c>
      <c r="J268" s="99">
        <f t="shared" si="121"/>
        <v>4633200</v>
      </c>
      <c r="K268" s="99"/>
      <c r="L268" s="99">
        <f t="shared" si="122"/>
        <v>4633200</v>
      </c>
      <c r="M268" s="99">
        <f>250000+100000</f>
        <v>350000</v>
      </c>
      <c r="N268" s="99">
        <v>0</v>
      </c>
      <c r="O268" s="99"/>
      <c r="P268" s="99">
        <f t="shared" si="134"/>
        <v>350000</v>
      </c>
      <c r="Q268" s="99"/>
      <c r="R268" s="99">
        <f t="shared" si="135"/>
        <v>350000</v>
      </c>
      <c r="S268" s="99"/>
      <c r="T268" s="99"/>
      <c r="U268" s="99"/>
      <c r="V268" s="99"/>
      <c r="W268" s="99"/>
      <c r="X268" s="99"/>
      <c r="Y268" s="99"/>
      <c r="Z268" s="99"/>
      <c r="AA268" s="99"/>
      <c r="AB268" s="99"/>
      <c r="AC268" s="99"/>
      <c r="AD268" s="99" t="s">
        <v>521</v>
      </c>
      <c r="AE268" s="259"/>
      <c r="AF268" s="260"/>
      <c r="AG268" s="260"/>
      <c r="AH268" s="260"/>
      <c r="AI268" s="260"/>
      <c r="AJ268" s="258"/>
    </row>
    <row r="269" spans="2:36" x14ac:dyDescent="0.25">
      <c r="B269" s="27" t="s">
        <v>202</v>
      </c>
      <c r="C269" s="27" t="s">
        <v>0</v>
      </c>
      <c r="D269" s="27" t="s">
        <v>91</v>
      </c>
      <c r="E269" s="27"/>
      <c r="F269" s="27"/>
      <c r="G269" s="27"/>
      <c r="H269" s="28">
        <v>1500000</v>
      </c>
      <c r="I269" s="28">
        <v>-1500000</v>
      </c>
      <c r="J269" s="28">
        <f t="shared" si="121"/>
        <v>0</v>
      </c>
      <c r="K269" s="28"/>
      <c r="L269" s="28">
        <f t="shared" si="122"/>
        <v>0</v>
      </c>
      <c r="M269" s="28">
        <v>1500000</v>
      </c>
      <c r="N269" s="28">
        <v>-1500000</v>
      </c>
      <c r="O269" s="28"/>
      <c r="P269" s="28">
        <f t="shared" si="134"/>
        <v>0</v>
      </c>
      <c r="Q269" s="28"/>
      <c r="R269" s="28">
        <f t="shared" si="135"/>
        <v>0</v>
      </c>
      <c r="S269" s="28"/>
      <c r="T269" s="28"/>
      <c r="U269" s="28"/>
      <c r="V269" s="28"/>
      <c r="W269" s="28"/>
      <c r="X269" s="28"/>
      <c r="Y269" s="28"/>
      <c r="Z269" s="28"/>
      <c r="AA269" s="28"/>
      <c r="AB269" s="28"/>
      <c r="AC269" s="28"/>
      <c r="AD269" s="64"/>
      <c r="AE269" s="259"/>
      <c r="AF269" s="257"/>
      <c r="AG269" s="257"/>
      <c r="AH269" s="257"/>
      <c r="AI269" s="257"/>
      <c r="AJ269" s="258"/>
    </row>
    <row r="270" spans="2:36" ht="26.4" x14ac:dyDescent="0.25">
      <c r="B270" s="31" t="s">
        <v>8</v>
      </c>
      <c r="C270" s="31" t="s">
        <v>3</v>
      </c>
      <c r="D270" s="31" t="s">
        <v>91</v>
      </c>
      <c r="E270" s="31"/>
      <c r="F270" s="31"/>
      <c r="G270" s="31"/>
      <c r="H270" s="32">
        <f>SUM(H271:H272)</f>
        <v>3738685</v>
      </c>
      <c r="I270" s="32">
        <v>0</v>
      </c>
      <c r="J270" s="32">
        <f t="shared" si="121"/>
        <v>3738685</v>
      </c>
      <c r="K270" s="32"/>
      <c r="L270" s="32">
        <f t="shared" si="122"/>
        <v>3738685</v>
      </c>
      <c r="M270" s="32">
        <f>M271+M272</f>
        <v>2684971</v>
      </c>
      <c r="N270" s="32">
        <v>0</v>
      </c>
      <c r="O270" s="32"/>
      <c r="P270" s="32">
        <f t="shared" si="134"/>
        <v>2684971</v>
      </c>
      <c r="Q270" s="32"/>
      <c r="R270" s="32">
        <f t="shared" si="135"/>
        <v>2684971</v>
      </c>
      <c r="S270" s="32"/>
      <c r="T270" s="32"/>
      <c r="U270" s="32"/>
      <c r="V270" s="32"/>
      <c r="W270" s="32"/>
      <c r="X270" s="32"/>
      <c r="Y270" s="32"/>
      <c r="Z270" s="32"/>
      <c r="AA270" s="32"/>
      <c r="AB270" s="32"/>
      <c r="AC270" s="32"/>
      <c r="AD270" s="36" t="s">
        <v>465</v>
      </c>
      <c r="AE270" s="259"/>
      <c r="AF270" s="257"/>
      <c r="AG270" s="257"/>
      <c r="AH270" s="257"/>
      <c r="AI270" s="257"/>
      <c r="AJ270" s="258"/>
    </row>
    <row r="271" spans="2:36" x14ac:dyDescent="0.25">
      <c r="B271" s="47" t="s">
        <v>30</v>
      </c>
      <c r="C271" s="31" t="s">
        <v>0</v>
      </c>
      <c r="D271" s="31"/>
      <c r="E271" s="31"/>
      <c r="F271" s="31"/>
      <c r="G271" s="31"/>
      <c r="H271" s="32">
        <v>927245</v>
      </c>
      <c r="I271" s="32">
        <v>0</v>
      </c>
      <c r="J271" s="32">
        <f t="shared" si="121"/>
        <v>927245</v>
      </c>
      <c r="K271" s="32"/>
      <c r="L271" s="32">
        <f t="shared" si="122"/>
        <v>927245</v>
      </c>
      <c r="M271" s="32">
        <v>593531</v>
      </c>
      <c r="N271" s="32">
        <v>0</v>
      </c>
      <c r="O271" s="32"/>
      <c r="P271" s="32">
        <f t="shared" si="134"/>
        <v>593531</v>
      </c>
      <c r="Q271" s="32"/>
      <c r="R271" s="32">
        <f t="shared" si="135"/>
        <v>593531</v>
      </c>
      <c r="S271" s="32"/>
      <c r="T271" s="32"/>
      <c r="U271" s="32"/>
      <c r="V271" s="32"/>
      <c r="W271" s="32"/>
      <c r="X271" s="32"/>
      <c r="Y271" s="32"/>
      <c r="Z271" s="32"/>
      <c r="AA271" s="32"/>
      <c r="AB271" s="32"/>
      <c r="AC271" s="32"/>
      <c r="AD271" s="36"/>
      <c r="AE271" s="259"/>
      <c r="AF271" s="257"/>
      <c r="AG271" s="257"/>
      <c r="AH271" s="257"/>
      <c r="AI271" s="257"/>
      <c r="AJ271" s="258"/>
    </row>
    <row r="272" spans="2:36" x14ac:dyDescent="0.25">
      <c r="B272" s="83"/>
      <c r="C272" s="31" t="s">
        <v>33</v>
      </c>
      <c r="D272" s="31"/>
      <c r="E272" s="31"/>
      <c r="F272" s="31"/>
      <c r="G272" s="31"/>
      <c r="H272" s="32">
        <v>2811440</v>
      </c>
      <c r="I272" s="32">
        <v>0</v>
      </c>
      <c r="J272" s="32">
        <f t="shared" si="121"/>
        <v>2811440</v>
      </c>
      <c r="K272" s="32"/>
      <c r="L272" s="32">
        <f t="shared" si="122"/>
        <v>2811440</v>
      </c>
      <c r="M272" s="32">
        <v>2091440</v>
      </c>
      <c r="N272" s="32">
        <v>0</v>
      </c>
      <c r="O272" s="32"/>
      <c r="P272" s="32">
        <f t="shared" si="134"/>
        <v>2091440</v>
      </c>
      <c r="Q272" s="32"/>
      <c r="R272" s="32">
        <f t="shared" si="135"/>
        <v>2091440</v>
      </c>
      <c r="S272" s="32"/>
      <c r="T272" s="32"/>
      <c r="U272" s="32"/>
      <c r="V272" s="32"/>
      <c r="W272" s="32"/>
      <c r="X272" s="32"/>
      <c r="Y272" s="32"/>
      <c r="Z272" s="32"/>
      <c r="AA272" s="32"/>
      <c r="AB272" s="32"/>
      <c r="AC272" s="32"/>
      <c r="AD272" s="36"/>
      <c r="AE272" s="259"/>
      <c r="AF272" s="257"/>
      <c r="AG272" s="257"/>
      <c r="AH272" s="257"/>
      <c r="AI272" s="257"/>
      <c r="AJ272" s="258"/>
    </row>
    <row r="273" spans="2:36" ht="30.6" x14ac:dyDescent="0.25">
      <c r="B273" s="31" t="s">
        <v>203</v>
      </c>
      <c r="C273" s="31" t="s">
        <v>0</v>
      </c>
      <c r="D273" s="31"/>
      <c r="E273" s="31"/>
      <c r="F273" s="31"/>
      <c r="G273" s="31"/>
      <c r="H273" s="32">
        <f>H274+H275+H276+H277+H278+H280+H279</f>
        <v>28330000</v>
      </c>
      <c r="I273" s="32">
        <v>0</v>
      </c>
      <c r="J273" s="32">
        <f t="shared" si="121"/>
        <v>28330000</v>
      </c>
      <c r="K273" s="32">
        <f>K274+K275+K276+K277+K278+K280+K279</f>
        <v>300000</v>
      </c>
      <c r="L273" s="32">
        <f t="shared" si="122"/>
        <v>28630000</v>
      </c>
      <c r="M273" s="32">
        <f>M274+M275+M276+M277+M278+M280+M279</f>
        <v>5870000</v>
      </c>
      <c r="N273" s="32">
        <v>0</v>
      </c>
      <c r="O273" s="32">
        <f>O274+O275+O276+O277+O278+O280+O279</f>
        <v>255580</v>
      </c>
      <c r="P273" s="32">
        <f t="shared" si="134"/>
        <v>6125580</v>
      </c>
      <c r="Q273" s="32"/>
      <c r="R273" s="32">
        <f t="shared" si="135"/>
        <v>6125580</v>
      </c>
      <c r="S273" s="32">
        <f>SUM(S274:S280)</f>
        <v>5850000</v>
      </c>
      <c r="T273" s="32">
        <f t="shared" ref="T273:Z273" si="136">SUM(T274:T280)</f>
        <v>5950000</v>
      </c>
      <c r="U273" s="32">
        <f t="shared" si="136"/>
        <v>5850000</v>
      </c>
      <c r="V273" s="32">
        <f>SUM(V274:V280)</f>
        <v>5850000</v>
      </c>
      <c r="W273" s="32">
        <f t="shared" si="136"/>
        <v>0</v>
      </c>
      <c r="X273" s="32">
        <f t="shared" si="136"/>
        <v>0</v>
      </c>
      <c r="Y273" s="32">
        <f t="shared" si="136"/>
        <v>0</v>
      </c>
      <c r="Z273" s="32">
        <f t="shared" si="136"/>
        <v>0</v>
      </c>
      <c r="AA273" s="32"/>
      <c r="AB273" s="32"/>
      <c r="AC273" s="32"/>
      <c r="AD273" s="36" t="s">
        <v>466</v>
      </c>
      <c r="AE273" s="259"/>
      <c r="AF273" s="257"/>
      <c r="AG273" s="257"/>
      <c r="AH273" s="257"/>
      <c r="AI273" s="257"/>
      <c r="AJ273" s="258"/>
    </row>
    <row r="274" spans="2:36" ht="20.399999999999999" x14ac:dyDescent="0.25">
      <c r="B274" s="34" t="s">
        <v>204</v>
      </c>
      <c r="C274" s="35"/>
      <c r="D274" s="35" t="s">
        <v>91</v>
      </c>
      <c r="E274" s="35"/>
      <c r="F274" s="35"/>
      <c r="G274" s="35"/>
      <c r="H274" s="36">
        <f>10410000+100000</f>
        <v>10510000</v>
      </c>
      <c r="I274" s="36">
        <v>0</v>
      </c>
      <c r="J274" s="36">
        <f t="shared" si="121"/>
        <v>10510000</v>
      </c>
      <c r="K274" s="36"/>
      <c r="L274" s="36">
        <f t="shared" si="122"/>
        <v>10510000</v>
      </c>
      <c r="M274" s="36">
        <f>2000000+100000</f>
        <v>2100000</v>
      </c>
      <c r="N274" s="36">
        <v>0</v>
      </c>
      <c r="O274" s="108">
        <v>206177</v>
      </c>
      <c r="P274" s="36">
        <f t="shared" si="134"/>
        <v>2306177</v>
      </c>
      <c r="Q274" s="36"/>
      <c r="R274" s="36">
        <f t="shared" si="135"/>
        <v>2306177</v>
      </c>
      <c r="S274" s="36">
        <v>2000000</v>
      </c>
      <c r="T274" s="36">
        <v>2000000</v>
      </c>
      <c r="U274" s="36">
        <v>2000000</v>
      </c>
      <c r="V274" s="36">
        <v>2000000</v>
      </c>
      <c r="W274" s="36"/>
      <c r="X274" s="36"/>
      <c r="Y274" s="36"/>
      <c r="Z274" s="36"/>
      <c r="AA274" s="36"/>
      <c r="AB274" s="36"/>
      <c r="AC274" s="36"/>
      <c r="AD274" s="36"/>
      <c r="AE274" s="259"/>
      <c r="AF274" s="257"/>
      <c r="AG274" s="257"/>
      <c r="AH274" s="257"/>
      <c r="AI274" s="257"/>
      <c r="AJ274" s="258"/>
    </row>
    <row r="275" spans="2:36" x14ac:dyDescent="0.25">
      <c r="B275" s="59" t="s">
        <v>205</v>
      </c>
      <c r="C275" s="35"/>
      <c r="D275" s="35" t="s">
        <v>91</v>
      </c>
      <c r="E275" s="35"/>
      <c r="F275" s="35"/>
      <c r="G275" s="35"/>
      <c r="H275" s="36">
        <v>2000000</v>
      </c>
      <c r="I275" s="36">
        <v>0</v>
      </c>
      <c r="J275" s="36">
        <f t="shared" si="121"/>
        <v>2000000</v>
      </c>
      <c r="K275" s="36"/>
      <c r="L275" s="36">
        <f t="shared" si="122"/>
        <v>2000000</v>
      </c>
      <c r="M275" s="36">
        <v>400000</v>
      </c>
      <c r="N275" s="36">
        <v>0</v>
      </c>
      <c r="O275" s="108">
        <v>49403</v>
      </c>
      <c r="P275" s="36">
        <f t="shared" si="134"/>
        <v>449403</v>
      </c>
      <c r="Q275" s="36"/>
      <c r="R275" s="36">
        <f t="shared" si="135"/>
        <v>449403</v>
      </c>
      <c r="S275" s="36">
        <v>400000</v>
      </c>
      <c r="T275" s="36">
        <v>400000</v>
      </c>
      <c r="U275" s="36">
        <v>400000</v>
      </c>
      <c r="V275" s="36">
        <v>400000</v>
      </c>
      <c r="W275" s="36"/>
      <c r="X275" s="36"/>
      <c r="Y275" s="36"/>
      <c r="Z275" s="36"/>
      <c r="AA275" s="36"/>
      <c r="AB275" s="36"/>
      <c r="AC275" s="36"/>
      <c r="AD275" s="36"/>
      <c r="AE275" s="259"/>
      <c r="AF275" s="257"/>
      <c r="AG275" s="257"/>
      <c r="AH275" s="257"/>
      <c r="AI275" s="257"/>
      <c r="AJ275" s="258"/>
    </row>
    <row r="276" spans="2:36" x14ac:dyDescent="0.25">
      <c r="B276" s="59" t="s">
        <v>206</v>
      </c>
      <c r="C276" s="35"/>
      <c r="D276" s="35" t="s">
        <v>91</v>
      </c>
      <c r="E276" s="35"/>
      <c r="F276" s="35"/>
      <c r="G276" s="35"/>
      <c r="H276" s="36">
        <v>10000000</v>
      </c>
      <c r="I276" s="36">
        <v>0</v>
      </c>
      <c r="J276" s="36">
        <f t="shared" si="121"/>
        <v>10000000</v>
      </c>
      <c r="K276" s="36"/>
      <c r="L276" s="36">
        <f t="shared" si="122"/>
        <v>10000000</v>
      </c>
      <c r="M276" s="36">
        <v>2000000</v>
      </c>
      <c r="N276" s="36">
        <v>0</v>
      </c>
      <c r="O276" s="36"/>
      <c r="P276" s="36">
        <f t="shared" si="134"/>
        <v>2000000</v>
      </c>
      <c r="Q276" s="36"/>
      <c r="R276" s="36">
        <f t="shared" si="135"/>
        <v>2000000</v>
      </c>
      <c r="S276" s="36">
        <v>2000000</v>
      </c>
      <c r="T276" s="36">
        <v>2000000</v>
      </c>
      <c r="U276" s="36">
        <v>2000000</v>
      </c>
      <c r="V276" s="36">
        <v>2000000</v>
      </c>
      <c r="W276" s="36"/>
      <c r="X276" s="36"/>
      <c r="Y276" s="36"/>
      <c r="Z276" s="36"/>
      <c r="AA276" s="36"/>
      <c r="AB276" s="36"/>
      <c r="AC276" s="36"/>
      <c r="AD276" s="36"/>
      <c r="AE276" s="259"/>
      <c r="AF276" s="257"/>
      <c r="AG276" s="257"/>
      <c r="AH276" s="257"/>
      <c r="AI276" s="257"/>
      <c r="AJ276" s="258"/>
    </row>
    <row r="277" spans="2:36" x14ac:dyDescent="0.25">
      <c r="B277" s="59" t="s">
        <v>207</v>
      </c>
      <c r="C277" s="35"/>
      <c r="D277" s="35" t="s">
        <v>91</v>
      </c>
      <c r="E277" s="35"/>
      <c r="F277" s="35"/>
      <c r="G277" s="35"/>
      <c r="H277" s="36">
        <v>2900000</v>
      </c>
      <c r="I277" s="36">
        <v>0</v>
      </c>
      <c r="J277" s="36">
        <f t="shared" si="121"/>
        <v>2900000</v>
      </c>
      <c r="K277" s="238">
        <v>300000</v>
      </c>
      <c r="L277" s="36">
        <f t="shared" si="122"/>
        <v>3200000</v>
      </c>
      <c r="M277" s="36">
        <v>500000</v>
      </c>
      <c r="N277" s="36">
        <v>0</v>
      </c>
      <c r="O277" s="36"/>
      <c r="P277" s="36">
        <f t="shared" si="134"/>
        <v>500000</v>
      </c>
      <c r="Q277" s="36"/>
      <c r="R277" s="36">
        <f t="shared" si="135"/>
        <v>500000</v>
      </c>
      <c r="S277" s="36">
        <v>800000</v>
      </c>
      <c r="T277" s="36">
        <v>800000</v>
      </c>
      <c r="U277" s="36">
        <v>800000</v>
      </c>
      <c r="V277" s="36">
        <v>800000</v>
      </c>
      <c r="W277" s="36"/>
      <c r="X277" s="36"/>
      <c r="Y277" s="36"/>
      <c r="Z277" s="36"/>
      <c r="AA277" s="36"/>
      <c r="AB277" s="36"/>
      <c r="AC277" s="36"/>
      <c r="AD277" s="36"/>
      <c r="AE277" s="259"/>
      <c r="AF277" s="257"/>
      <c r="AG277" s="257"/>
      <c r="AH277" s="257"/>
      <c r="AI277" s="257"/>
      <c r="AJ277" s="258"/>
    </row>
    <row r="278" spans="2:36" x14ac:dyDescent="0.25">
      <c r="B278" s="59" t="s">
        <v>208</v>
      </c>
      <c r="C278" s="35"/>
      <c r="D278" s="35" t="s">
        <v>91</v>
      </c>
      <c r="E278" s="35"/>
      <c r="F278" s="35"/>
      <c r="G278" s="35"/>
      <c r="H278" s="36">
        <v>1600000</v>
      </c>
      <c r="I278" s="36">
        <v>0</v>
      </c>
      <c r="J278" s="36">
        <f t="shared" si="121"/>
        <v>1600000</v>
      </c>
      <c r="K278" s="36"/>
      <c r="L278" s="36">
        <f t="shared" si="122"/>
        <v>1600000</v>
      </c>
      <c r="M278" s="36">
        <v>400000</v>
      </c>
      <c r="N278" s="36">
        <v>0</v>
      </c>
      <c r="O278" s="36"/>
      <c r="P278" s="36">
        <f t="shared" si="134"/>
        <v>400000</v>
      </c>
      <c r="Q278" s="36"/>
      <c r="R278" s="36">
        <f t="shared" si="135"/>
        <v>400000</v>
      </c>
      <c r="S278" s="36">
        <v>400000</v>
      </c>
      <c r="T278" s="36">
        <v>400000</v>
      </c>
      <c r="U278" s="36">
        <v>400000</v>
      </c>
      <c r="V278" s="36">
        <v>400000</v>
      </c>
      <c r="W278" s="36"/>
      <c r="X278" s="36"/>
      <c r="Y278" s="36"/>
      <c r="Z278" s="36"/>
      <c r="AA278" s="36"/>
      <c r="AB278" s="36"/>
      <c r="AC278" s="36"/>
      <c r="AD278" s="36"/>
      <c r="AE278" s="259"/>
      <c r="AF278" s="257"/>
      <c r="AG278" s="257"/>
      <c r="AH278" s="257"/>
      <c r="AI278" s="257"/>
      <c r="AJ278" s="258"/>
    </row>
    <row r="279" spans="2:36" x14ac:dyDescent="0.25">
      <c r="B279" s="59" t="s">
        <v>209</v>
      </c>
      <c r="C279" s="35"/>
      <c r="D279" s="35" t="s">
        <v>91</v>
      </c>
      <c r="E279" s="35"/>
      <c r="F279" s="35"/>
      <c r="G279" s="35"/>
      <c r="H279" s="36">
        <v>220000</v>
      </c>
      <c r="I279" s="36">
        <v>0</v>
      </c>
      <c r="J279" s="36">
        <f t="shared" si="121"/>
        <v>220000</v>
      </c>
      <c r="K279" s="36"/>
      <c r="L279" s="36">
        <f t="shared" si="122"/>
        <v>220000</v>
      </c>
      <c r="M279" s="36">
        <v>220000</v>
      </c>
      <c r="N279" s="36">
        <v>0</v>
      </c>
      <c r="O279" s="36"/>
      <c r="P279" s="36">
        <f t="shared" si="134"/>
        <v>220000</v>
      </c>
      <c r="Q279" s="36"/>
      <c r="R279" s="36">
        <f t="shared" si="135"/>
        <v>220000</v>
      </c>
      <c r="S279" s="36"/>
      <c r="T279" s="36"/>
      <c r="U279" s="36"/>
      <c r="V279" s="36"/>
      <c r="W279" s="36"/>
      <c r="X279" s="36"/>
      <c r="Y279" s="36"/>
      <c r="Z279" s="36"/>
      <c r="AA279" s="36"/>
      <c r="AB279" s="36"/>
      <c r="AC279" s="36"/>
      <c r="AD279" s="36"/>
      <c r="AE279" s="259"/>
      <c r="AF279" s="257"/>
      <c r="AG279" s="257"/>
      <c r="AH279" s="257"/>
      <c r="AI279" s="257"/>
      <c r="AJ279" s="258"/>
    </row>
    <row r="280" spans="2:36" x14ac:dyDescent="0.25">
      <c r="B280" s="59" t="s">
        <v>210</v>
      </c>
      <c r="C280" s="35"/>
      <c r="D280" s="35" t="s">
        <v>91</v>
      </c>
      <c r="E280" s="35"/>
      <c r="F280" s="35"/>
      <c r="G280" s="35"/>
      <c r="H280" s="36">
        <v>1100000</v>
      </c>
      <c r="I280" s="36">
        <v>0</v>
      </c>
      <c r="J280" s="36">
        <f t="shared" si="121"/>
        <v>1100000</v>
      </c>
      <c r="K280" s="36"/>
      <c r="L280" s="36">
        <f t="shared" si="122"/>
        <v>1100000</v>
      </c>
      <c r="M280" s="36">
        <v>250000</v>
      </c>
      <c r="N280" s="36">
        <v>0</v>
      </c>
      <c r="O280" s="36"/>
      <c r="P280" s="36">
        <f t="shared" si="134"/>
        <v>250000</v>
      </c>
      <c r="Q280" s="36"/>
      <c r="R280" s="36">
        <f t="shared" si="135"/>
        <v>250000</v>
      </c>
      <c r="S280" s="36">
        <v>250000</v>
      </c>
      <c r="T280" s="36">
        <v>350000</v>
      </c>
      <c r="U280" s="36">
        <v>250000</v>
      </c>
      <c r="V280" s="36">
        <v>250000</v>
      </c>
      <c r="W280" s="36"/>
      <c r="X280" s="36"/>
      <c r="Y280" s="36"/>
      <c r="Z280" s="36"/>
      <c r="AA280" s="36"/>
      <c r="AB280" s="36"/>
      <c r="AC280" s="36"/>
      <c r="AD280" s="36"/>
      <c r="AE280" s="259"/>
      <c r="AF280" s="257"/>
      <c r="AG280" s="257"/>
      <c r="AH280" s="257"/>
      <c r="AI280" s="257"/>
      <c r="AJ280" s="258"/>
    </row>
    <row r="281" spans="2:36" s="1" customFormat="1" ht="26.4" x14ac:dyDescent="0.25">
      <c r="B281" s="100" t="s">
        <v>211</v>
      </c>
      <c r="C281" s="31" t="s">
        <v>0</v>
      </c>
      <c r="D281" s="31" t="s">
        <v>91</v>
      </c>
      <c r="E281" s="31"/>
      <c r="F281" s="31"/>
      <c r="G281" s="31">
        <v>2026</v>
      </c>
      <c r="H281" s="32">
        <v>675000</v>
      </c>
      <c r="I281" s="32">
        <v>0</v>
      </c>
      <c r="J281" s="32">
        <f t="shared" si="121"/>
        <v>675000</v>
      </c>
      <c r="K281" s="32"/>
      <c r="L281" s="32">
        <f t="shared" si="122"/>
        <v>675000</v>
      </c>
      <c r="M281" s="32">
        <v>82750</v>
      </c>
      <c r="N281" s="32">
        <v>0</v>
      </c>
      <c r="O281" s="32"/>
      <c r="P281" s="32">
        <f t="shared" si="134"/>
        <v>82750</v>
      </c>
      <c r="Q281" s="32"/>
      <c r="R281" s="32">
        <f t="shared" si="135"/>
        <v>82750</v>
      </c>
      <c r="S281" s="32">
        <v>115000</v>
      </c>
      <c r="T281" s="32">
        <v>115000</v>
      </c>
      <c r="U281" s="32">
        <v>115000</v>
      </c>
      <c r="V281" s="32">
        <v>115000</v>
      </c>
      <c r="W281" s="32"/>
      <c r="X281" s="32"/>
      <c r="Y281" s="32"/>
      <c r="Z281" s="32"/>
      <c r="AA281" s="32"/>
      <c r="AB281" s="32"/>
      <c r="AC281" s="32"/>
      <c r="AD281" s="36" t="s">
        <v>467</v>
      </c>
      <c r="AE281" s="269"/>
      <c r="AF281" s="260"/>
      <c r="AG281" s="260"/>
      <c r="AH281" s="260"/>
      <c r="AI281" s="260"/>
      <c r="AJ281" s="258"/>
    </row>
    <row r="282" spans="2:36" x14ac:dyDescent="0.25">
      <c r="B282" s="31" t="s">
        <v>212</v>
      </c>
      <c r="C282" s="31" t="s">
        <v>0</v>
      </c>
      <c r="D282" s="31" t="s">
        <v>168</v>
      </c>
      <c r="E282" s="31"/>
      <c r="F282" s="31"/>
      <c r="G282" s="31"/>
      <c r="H282" s="32">
        <f>SUM(H283:H284)</f>
        <v>200000</v>
      </c>
      <c r="I282" s="32">
        <f>SUM(I283:I284)</f>
        <v>162100</v>
      </c>
      <c r="J282" s="32">
        <f t="shared" si="121"/>
        <v>362100</v>
      </c>
      <c r="K282" s="32"/>
      <c r="L282" s="32">
        <f t="shared" si="122"/>
        <v>362100</v>
      </c>
      <c r="M282" s="32">
        <f>SUM(M283:M283)</f>
        <v>200000</v>
      </c>
      <c r="N282" s="32">
        <f>SUM(N283:N284)</f>
        <v>100100</v>
      </c>
      <c r="O282" s="32">
        <f>SUM(O283:O284)</f>
        <v>330000</v>
      </c>
      <c r="P282" s="32">
        <f t="shared" si="134"/>
        <v>630100</v>
      </c>
      <c r="Q282" s="32"/>
      <c r="R282" s="32">
        <f t="shared" si="135"/>
        <v>630100</v>
      </c>
      <c r="S282" s="32">
        <f t="shared" ref="S282:V282" si="137">SUM(S283:S284)</f>
        <v>200000</v>
      </c>
      <c r="T282" s="32">
        <f t="shared" si="137"/>
        <v>600000</v>
      </c>
      <c r="U282" s="32">
        <f t="shared" si="137"/>
        <v>600000</v>
      </c>
      <c r="V282" s="32">
        <f t="shared" si="137"/>
        <v>400000</v>
      </c>
      <c r="W282" s="32">
        <f t="shared" ref="W282" si="138">SUM(W283:W284)</f>
        <v>270000</v>
      </c>
      <c r="X282" s="32">
        <f t="shared" ref="X282" si="139">SUM(X283:X284)</f>
        <v>1530000</v>
      </c>
      <c r="Y282" s="32">
        <f t="shared" ref="Y282" si="140">SUM(Y283:Y284)</f>
        <v>0</v>
      </c>
      <c r="Z282" s="32">
        <f t="shared" ref="Z282" si="141">SUM(Z283:Z284)</f>
        <v>0</v>
      </c>
      <c r="AA282" s="32"/>
      <c r="AB282" s="32"/>
      <c r="AC282" s="32"/>
      <c r="AD282" s="36"/>
      <c r="AE282" s="259"/>
      <c r="AF282" s="257"/>
      <c r="AG282" s="257"/>
      <c r="AH282" s="257"/>
      <c r="AI282" s="257"/>
      <c r="AJ282" s="258"/>
    </row>
    <row r="283" spans="2:36" s="1" customFormat="1" ht="40.799999999999997" x14ac:dyDescent="0.25">
      <c r="B283" s="34" t="s">
        <v>553</v>
      </c>
      <c r="C283" s="35"/>
      <c r="D283" s="35"/>
      <c r="E283" s="35"/>
      <c r="F283" s="35"/>
      <c r="G283" s="35"/>
      <c r="H283" s="36">
        <v>200000</v>
      </c>
      <c r="I283" s="36">
        <v>0</v>
      </c>
      <c r="J283" s="36">
        <f t="shared" si="121"/>
        <v>200000</v>
      </c>
      <c r="K283" s="36"/>
      <c r="L283" s="36">
        <f t="shared" si="122"/>
        <v>200000</v>
      </c>
      <c r="M283" s="36">
        <v>200000</v>
      </c>
      <c r="N283" s="36">
        <v>0</v>
      </c>
      <c r="O283" s="36">
        <v>330000</v>
      </c>
      <c r="P283" s="36">
        <f t="shared" si="134"/>
        <v>530000</v>
      </c>
      <c r="Q283" s="36"/>
      <c r="R283" s="36">
        <f t="shared" si="135"/>
        <v>530000</v>
      </c>
      <c r="S283" s="36">
        <v>200000</v>
      </c>
      <c r="T283" s="36">
        <v>600000</v>
      </c>
      <c r="U283" s="36">
        <v>600000</v>
      </c>
      <c r="V283" s="36">
        <v>400000</v>
      </c>
      <c r="W283" s="36">
        <v>270000</v>
      </c>
      <c r="X283" s="36">
        <v>1530000</v>
      </c>
      <c r="Y283" s="36"/>
      <c r="Z283" s="36"/>
      <c r="AA283" s="36"/>
      <c r="AB283" s="36"/>
      <c r="AC283" s="36"/>
      <c r="AD283" s="36"/>
      <c r="AE283" s="259"/>
      <c r="AF283" s="260"/>
      <c r="AG283" s="260"/>
      <c r="AH283" s="260"/>
      <c r="AI283" s="260"/>
      <c r="AJ283" s="258"/>
    </row>
    <row r="284" spans="2:36" s="1" customFormat="1" x14ac:dyDescent="0.25">
      <c r="B284" s="217" t="s">
        <v>554</v>
      </c>
      <c r="C284" s="35"/>
      <c r="D284" s="35"/>
      <c r="E284" s="35"/>
      <c r="F284" s="35"/>
      <c r="G284" s="35"/>
      <c r="H284" s="36"/>
      <c r="I284" s="36">
        <v>162100</v>
      </c>
      <c r="J284" s="36">
        <f t="shared" si="121"/>
        <v>162100</v>
      </c>
      <c r="K284" s="36"/>
      <c r="L284" s="36">
        <f t="shared" si="122"/>
        <v>162100</v>
      </c>
      <c r="M284" s="36"/>
      <c r="N284" s="36">
        <v>100100</v>
      </c>
      <c r="O284" s="36"/>
      <c r="P284" s="36">
        <f t="shared" si="134"/>
        <v>100100</v>
      </c>
      <c r="Q284" s="36"/>
      <c r="R284" s="36">
        <f t="shared" si="135"/>
        <v>100100</v>
      </c>
      <c r="S284" s="36"/>
      <c r="T284" s="36"/>
      <c r="U284" s="36"/>
      <c r="V284" s="36"/>
      <c r="W284" s="36"/>
      <c r="X284" s="36"/>
      <c r="Y284" s="36"/>
      <c r="Z284" s="36"/>
      <c r="AA284" s="36"/>
      <c r="AB284" s="36"/>
      <c r="AC284" s="36"/>
      <c r="AD284" s="36"/>
      <c r="AE284" s="259"/>
      <c r="AF284" s="260"/>
      <c r="AG284" s="260"/>
      <c r="AH284" s="260"/>
      <c r="AI284" s="260"/>
      <c r="AJ284" s="258"/>
    </row>
    <row r="285" spans="2:36" ht="52.8" x14ac:dyDescent="0.25">
      <c r="B285" s="27" t="s">
        <v>213</v>
      </c>
      <c r="C285" s="27" t="s">
        <v>0</v>
      </c>
      <c r="D285" s="27" t="s">
        <v>168</v>
      </c>
      <c r="E285" s="27"/>
      <c r="F285" s="27"/>
      <c r="G285" s="27"/>
      <c r="H285" s="28">
        <v>500000</v>
      </c>
      <c r="I285" s="28">
        <v>0</v>
      </c>
      <c r="J285" s="28">
        <f t="shared" si="121"/>
        <v>500000</v>
      </c>
      <c r="K285" s="28"/>
      <c r="L285" s="28">
        <f t="shared" si="122"/>
        <v>500000</v>
      </c>
      <c r="M285" s="28">
        <v>500000</v>
      </c>
      <c r="N285" s="28">
        <v>0</v>
      </c>
      <c r="O285" s="28">
        <v>172805</v>
      </c>
      <c r="P285" s="28">
        <f t="shared" si="134"/>
        <v>672805</v>
      </c>
      <c r="Q285" s="28"/>
      <c r="R285" s="28">
        <f t="shared" si="135"/>
        <v>672805</v>
      </c>
      <c r="S285" s="28">
        <v>500000</v>
      </c>
      <c r="T285" s="28">
        <v>500000</v>
      </c>
      <c r="U285" s="28">
        <v>500000</v>
      </c>
      <c r="V285" s="28">
        <v>500000</v>
      </c>
      <c r="W285" s="28"/>
      <c r="X285" s="28">
        <v>1000000</v>
      </c>
      <c r="Y285" s="28">
        <v>1000000</v>
      </c>
      <c r="Z285" s="28"/>
      <c r="AA285" s="28"/>
      <c r="AB285" s="28"/>
      <c r="AC285" s="28"/>
      <c r="AD285" s="64" t="s">
        <v>468</v>
      </c>
      <c r="AE285" s="269"/>
      <c r="AF285" s="257"/>
      <c r="AG285" s="257"/>
      <c r="AH285" s="257"/>
      <c r="AI285" s="257"/>
      <c r="AJ285" s="258"/>
    </row>
    <row r="286" spans="2:36" s="1" customFormat="1" ht="30.6" x14ac:dyDescent="0.25">
      <c r="B286" s="77" t="s">
        <v>214</v>
      </c>
      <c r="C286" s="77" t="s">
        <v>0</v>
      </c>
      <c r="D286" s="77" t="s">
        <v>168</v>
      </c>
      <c r="E286" s="77"/>
      <c r="F286" s="77"/>
      <c r="G286" s="77"/>
      <c r="H286" s="78">
        <v>400000</v>
      </c>
      <c r="I286" s="78">
        <v>0</v>
      </c>
      <c r="J286" s="78">
        <f t="shared" si="121"/>
        <v>400000</v>
      </c>
      <c r="K286" s="78"/>
      <c r="L286" s="78">
        <f t="shared" si="122"/>
        <v>400000</v>
      </c>
      <c r="M286" s="78">
        <v>100000</v>
      </c>
      <c r="N286" s="78">
        <v>0</v>
      </c>
      <c r="O286" s="78"/>
      <c r="P286" s="78">
        <f t="shared" si="134"/>
        <v>100000</v>
      </c>
      <c r="Q286" s="78"/>
      <c r="R286" s="78">
        <f t="shared" si="135"/>
        <v>100000</v>
      </c>
      <c r="S286" s="78">
        <v>100000</v>
      </c>
      <c r="T286" s="78">
        <v>100000</v>
      </c>
      <c r="U286" s="78">
        <v>100000</v>
      </c>
      <c r="V286" s="78">
        <v>100000</v>
      </c>
      <c r="W286" s="78">
        <v>400000</v>
      </c>
      <c r="X286" s="78"/>
      <c r="Y286" s="78"/>
      <c r="Z286" s="78"/>
      <c r="AA286" s="78"/>
      <c r="AB286" s="78"/>
      <c r="AC286" s="78"/>
      <c r="AD286" s="174" t="s">
        <v>469</v>
      </c>
      <c r="AE286" s="269"/>
      <c r="AF286" s="260"/>
      <c r="AG286" s="260"/>
      <c r="AH286" s="260"/>
      <c r="AI286" s="260"/>
      <c r="AJ286" s="258"/>
    </row>
    <row r="287" spans="2:36" x14ac:dyDescent="0.25">
      <c r="B287" s="45" t="s">
        <v>215</v>
      </c>
      <c r="C287" s="45" t="s">
        <v>3</v>
      </c>
      <c r="D287" s="45"/>
      <c r="E287" s="45"/>
      <c r="F287" s="45"/>
      <c r="G287" s="45"/>
      <c r="H287" s="46">
        <f>H288+H289+H290+H291</f>
        <v>31900000</v>
      </c>
      <c r="I287" s="46"/>
      <c r="J287" s="46">
        <f t="shared" si="121"/>
        <v>31900000</v>
      </c>
      <c r="K287" s="46"/>
      <c r="L287" s="46">
        <f t="shared" si="122"/>
        <v>31900000</v>
      </c>
      <c r="M287" s="46">
        <f>M288+M289+M290+M291</f>
        <v>2400000</v>
      </c>
      <c r="N287" s="46">
        <f>N288+N289+N290+N291</f>
        <v>-1140000</v>
      </c>
      <c r="O287" s="46">
        <f>O288+O289+O290+O291</f>
        <v>534938</v>
      </c>
      <c r="P287" s="46">
        <f t="shared" si="134"/>
        <v>1794938</v>
      </c>
      <c r="Q287" s="46"/>
      <c r="R287" s="46">
        <f t="shared" si="135"/>
        <v>1794938</v>
      </c>
      <c r="S287" s="46">
        <f t="shared" ref="S287:V287" si="142">S288+S289+S290+S291</f>
        <v>2000000</v>
      </c>
      <c r="T287" s="46">
        <f t="shared" si="142"/>
        <v>2200000</v>
      </c>
      <c r="U287" s="46">
        <f t="shared" si="142"/>
        <v>2600000</v>
      </c>
      <c r="V287" s="46">
        <f t="shared" si="142"/>
        <v>3400000</v>
      </c>
      <c r="W287" s="46">
        <f t="shared" ref="W287" si="143">W288+W289+W290+W291</f>
        <v>0</v>
      </c>
      <c r="X287" s="46">
        <f t="shared" ref="X287" si="144">X288+X289+X290+X291</f>
        <v>0</v>
      </c>
      <c r="Y287" s="46">
        <f t="shared" ref="Y287" si="145">Y288+Y289+Y290+Y291</f>
        <v>0</v>
      </c>
      <c r="Z287" s="46">
        <f t="shared" ref="Z287" si="146">Z288+Z289+Z290+Z291</f>
        <v>0</v>
      </c>
      <c r="AA287" s="46"/>
      <c r="AB287" s="46"/>
      <c r="AC287" s="46"/>
      <c r="AD287" s="147"/>
      <c r="AE287" s="259"/>
      <c r="AF287" s="257"/>
      <c r="AG287" s="257"/>
      <c r="AH287" s="257"/>
      <c r="AI287" s="257"/>
      <c r="AJ287" s="258"/>
    </row>
    <row r="288" spans="2:36" x14ac:dyDescent="0.25">
      <c r="B288" s="197" t="s">
        <v>216</v>
      </c>
      <c r="C288" s="197" t="s">
        <v>0</v>
      </c>
      <c r="D288" s="197" t="s">
        <v>91</v>
      </c>
      <c r="E288" s="197"/>
      <c r="F288" s="197"/>
      <c r="G288" s="197"/>
      <c r="H288" s="198">
        <v>6700000</v>
      </c>
      <c r="I288" s="198"/>
      <c r="J288" s="198">
        <f t="shared" si="121"/>
        <v>6700000</v>
      </c>
      <c r="K288" s="198"/>
      <c r="L288" s="198">
        <f t="shared" si="122"/>
        <v>6700000</v>
      </c>
      <c r="M288" s="198">
        <v>400000</v>
      </c>
      <c r="N288" s="198">
        <v>0</v>
      </c>
      <c r="O288" s="32">
        <v>504938</v>
      </c>
      <c r="P288" s="198">
        <f t="shared" si="134"/>
        <v>904938</v>
      </c>
      <c r="Q288" s="198"/>
      <c r="R288" s="198">
        <f t="shared" si="135"/>
        <v>904938</v>
      </c>
      <c r="S288" s="198">
        <v>400000</v>
      </c>
      <c r="T288" s="198">
        <v>800000</v>
      </c>
      <c r="U288" s="198">
        <v>1200000</v>
      </c>
      <c r="V288" s="198">
        <v>2000000</v>
      </c>
      <c r="W288" s="198"/>
      <c r="X288" s="198"/>
      <c r="Y288" s="198"/>
      <c r="Z288" s="198"/>
      <c r="AA288" s="198"/>
      <c r="AB288" s="198"/>
      <c r="AC288" s="198"/>
      <c r="AD288" s="199" t="s">
        <v>470</v>
      </c>
      <c r="AE288" s="259"/>
      <c r="AF288" s="257"/>
      <c r="AG288" s="257"/>
      <c r="AH288" s="257"/>
      <c r="AI288" s="257"/>
      <c r="AJ288" s="258"/>
    </row>
    <row r="289" spans="2:36" s="1" customFormat="1" x14ac:dyDescent="0.25">
      <c r="B289" s="200" t="s">
        <v>217</v>
      </c>
      <c r="C289" s="200" t="s">
        <v>0</v>
      </c>
      <c r="D289" s="200" t="s">
        <v>91</v>
      </c>
      <c r="E289" s="200"/>
      <c r="F289" s="200"/>
      <c r="G289" s="200"/>
      <c r="H289" s="201">
        <v>14000000</v>
      </c>
      <c r="I289" s="208"/>
      <c r="J289" s="208">
        <f t="shared" si="121"/>
        <v>14000000</v>
      </c>
      <c r="K289" s="201"/>
      <c r="L289" s="201">
        <f t="shared" si="122"/>
        <v>14000000</v>
      </c>
      <c r="M289" s="201">
        <v>500000</v>
      </c>
      <c r="N289" s="201">
        <v>-440000</v>
      </c>
      <c r="O289" s="32">
        <v>30000</v>
      </c>
      <c r="P289" s="201">
        <f t="shared" si="134"/>
        <v>90000</v>
      </c>
      <c r="Q289" s="208"/>
      <c r="R289" s="208">
        <f t="shared" si="135"/>
        <v>90000</v>
      </c>
      <c r="S289" s="201">
        <v>500000</v>
      </c>
      <c r="T289" s="201">
        <v>500000</v>
      </c>
      <c r="U289" s="201">
        <v>500000</v>
      </c>
      <c r="V289" s="201">
        <v>500000</v>
      </c>
      <c r="W289" s="201"/>
      <c r="X289" s="201"/>
      <c r="Y289" s="201"/>
      <c r="Z289" s="201"/>
      <c r="AA289" s="201"/>
      <c r="AB289" s="201"/>
      <c r="AC289" s="201"/>
      <c r="AD289" s="202" t="s">
        <v>471</v>
      </c>
      <c r="AE289" s="259"/>
      <c r="AF289" s="260"/>
      <c r="AG289" s="260"/>
      <c r="AH289" s="260"/>
      <c r="AI289" s="260"/>
      <c r="AJ289" s="258"/>
    </row>
    <row r="290" spans="2:36" s="1" customFormat="1" ht="26.4" x14ac:dyDescent="0.25">
      <c r="B290" s="200" t="s">
        <v>218</v>
      </c>
      <c r="C290" s="200" t="s">
        <v>0</v>
      </c>
      <c r="D290" s="200" t="s">
        <v>91</v>
      </c>
      <c r="E290" s="200"/>
      <c r="F290" s="200"/>
      <c r="G290" s="200"/>
      <c r="H290" s="201">
        <v>10400000</v>
      </c>
      <c r="I290" s="208"/>
      <c r="J290" s="208">
        <f t="shared" si="121"/>
        <v>10400000</v>
      </c>
      <c r="K290" s="201"/>
      <c r="L290" s="201">
        <f t="shared" si="122"/>
        <v>10400000</v>
      </c>
      <c r="M290" s="201">
        <v>900000</v>
      </c>
      <c r="N290" s="201">
        <v>-700000</v>
      </c>
      <c r="O290" s="208"/>
      <c r="P290" s="201">
        <f t="shared" si="134"/>
        <v>200000</v>
      </c>
      <c r="Q290" s="208"/>
      <c r="R290" s="208">
        <f t="shared" si="135"/>
        <v>200000</v>
      </c>
      <c r="S290" s="201">
        <v>900000</v>
      </c>
      <c r="T290" s="201">
        <v>900000</v>
      </c>
      <c r="U290" s="201">
        <v>900000</v>
      </c>
      <c r="V290" s="201">
        <v>900000</v>
      </c>
      <c r="W290" s="201"/>
      <c r="X290" s="201"/>
      <c r="Y290" s="201"/>
      <c r="Z290" s="201"/>
      <c r="AA290" s="201"/>
      <c r="AB290" s="201"/>
      <c r="AC290" s="201"/>
      <c r="AD290" s="202" t="s">
        <v>472</v>
      </c>
      <c r="AE290" s="259"/>
      <c r="AF290" s="260"/>
      <c r="AG290" s="260"/>
      <c r="AH290" s="260"/>
      <c r="AI290" s="260"/>
      <c r="AJ290" s="258"/>
    </row>
    <row r="291" spans="2:36" s="1" customFormat="1" ht="26.4" x14ac:dyDescent="0.25">
      <c r="B291" s="101" t="s">
        <v>219</v>
      </c>
      <c r="C291" s="101" t="s">
        <v>0</v>
      </c>
      <c r="D291" s="101" t="s">
        <v>91</v>
      </c>
      <c r="E291" s="101"/>
      <c r="F291" s="101"/>
      <c r="G291" s="101">
        <v>2023</v>
      </c>
      <c r="H291" s="102">
        <v>800000</v>
      </c>
      <c r="I291" s="209"/>
      <c r="J291" s="209">
        <f t="shared" si="121"/>
        <v>800000</v>
      </c>
      <c r="K291" s="102"/>
      <c r="L291" s="102">
        <f t="shared" si="122"/>
        <v>800000</v>
      </c>
      <c r="M291" s="102">
        <v>600000</v>
      </c>
      <c r="N291" s="102">
        <v>0</v>
      </c>
      <c r="O291" s="209"/>
      <c r="P291" s="102">
        <f t="shared" si="134"/>
        <v>600000</v>
      </c>
      <c r="Q291" s="209"/>
      <c r="R291" s="209">
        <f t="shared" si="135"/>
        <v>600000</v>
      </c>
      <c r="S291" s="102">
        <v>200000</v>
      </c>
      <c r="T291" s="102"/>
      <c r="U291" s="102"/>
      <c r="V291" s="102"/>
      <c r="W291" s="102"/>
      <c r="X291" s="102"/>
      <c r="Y291" s="102"/>
      <c r="Z291" s="102"/>
      <c r="AA291" s="102"/>
      <c r="AB291" s="102"/>
      <c r="AC291" s="102"/>
      <c r="AD291" s="176"/>
      <c r="AE291" s="259"/>
      <c r="AF291" s="260"/>
      <c r="AG291" s="260"/>
      <c r="AH291" s="260"/>
      <c r="AI291" s="260"/>
      <c r="AJ291" s="258"/>
    </row>
    <row r="292" spans="2:36" x14ac:dyDescent="0.25">
      <c r="B292" s="45" t="s">
        <v>220</v>
      </c>
      <c r="C292" s="45" t="s">
        <v>3</v>
      </c>
      <c r="D292" s="45"/>
      <c r="E292" s="45"/>
      <c r="F292" s="45"/>
      <c r="G292" s="45"/>
      <c r="H292" s="46">
        <f>H317+H329+H332+H340+H298+H293+H342+H347+H343+H341+H344+H345+H346+H350+H351</f>
        <v>59515871</v>
      </c>
      <c r="I292" s="46">
        <f>I317+I329+I332+I340+I298+I293+I342+I347+I343+I341+I344+I345+I346+I350+I351</f>
        <v>3426600</v>
      </c>
      <c r="J292" s="46">
        <f>H292+I292</f>
        <v>62942471</v>
      </c>
      <c r="K292" s="46">
        <f>K317+K329+K332+K340+K298+K293+K342+K347+K343+K341+K344+K345+K346</f>
        <v>253000</v>
      </c>
      <c r="L292" s="46">
        <f t="shared" si="122"/>
        <v>63195471</v>
      </c>
      <c r="M292" s="46">
        <f>M317+M329+M332+M340+M298+M293+M342+M347+M343+M341+M344+M345+M346</f>
        <v>19139531</v>
      </c>
      <c r="N292" s="46">
        <f>N317+N329+N332+N340+N298+N293+N342+N347+N343+N341+N344+N345+N346+N350+N351</f>
        <v>1331560</v>
      </c>
      <c r="O292" s="46">
        <f>O317+O329+O332+O340+O298+O293+O342+O347+O343+O341+O344+O345+O346+O350+O351</f>
        <v>1526936</v>
      </c>
      <c r="P292" s="46">
        <f t="shared" si="134"/>
        <v>21998027</v>
      </c>
      <c r="Q292" s="46"/>
      <c r="R292" s="46">
        <f t="shared" si="135"/>
        <v>21998027</v>
      </c>
      <c r="S292" s="46">
        <f t="shared" ref="S292:V292" si="147">S317+S329+S332+S340+S298+S293+S342+S347+S343+S341+S344+S345+S346+S350+S351</f>
        <v>13713000</v>
      </c>
      <c r="T292" s="46">
        <f t="shared" si="147"/>
        <v>8350000</v>
      </c>
      <c r="U292" s="46">
        <f t="shared" si="147"/>
        <v>1289750</v>
      </c>
      <c r="V292" s="46">
        <f t="shared" si="147"/>
        <v>600000</v>
      </c>
      <c r="W292" s="46">
        <f t="shared" ref="W292" si="148">W317+W329+W332+W340+W298+W293+W342+W347+W343+W341+W344+W345+W346+W350+W351</f>
        <v>840000</v>
      </c>
      <c r="X292" s="46">
        <f t="shared" ref="X292" si="149">X317+X329+X332+X340+X298+X293+X342+X347+X343+X341+X344+X345+X346+X350+X351</f>
        <v>19874750</v>
      </c>
      <c r="Y292" s="46">
        <f t="shared" ref="Y292" si="150">Y317+Y329+Y332+Y340+Y298+Y293+Y342+Y347+Y343+Y341+Y344+Y345+Y346+Y350+Y351</f>
        <v>1250000</v>
      </c>
      <c r="Z292" s="46">
        <f t="shared" ref="Z292" si="151">Z317+Z329+Z332+Z340+Z298+Z293+Z342+Z347+Z343+Z341+Z344+Z345+Z346+Z350+Z351</f>
        <v>200000</v>
      </c>
      <c r="AA292" s="46"/>
      <c r="AB292" s="46"/>
      <c r="AC292" s="46"/>
      <c r="AD292" s="147"/>
      <c r="AE292" s="259"/>
      <c r="AF292" s="257"/>
      <c r="AG292" s="257"/>
      <c r="AH292" s="257"/>
      <c r="AI292" s="257"/>
      <c r="AJ292" s="258"/>
    </row>
    <row r="293" spans="2:36" s="1" customFormat="1" x14ac:dyDescent="0.25">
      <c r="B293" s="31" t="s">
        <v>221</v>
      </c>
      <c r="C293" s="31" t="s">
        <v>3</v>
      </c>
      <c r="D293" s="31"/>
      <c r="E293" s="31"/>
      <c r="F293" s="31"/>
      <c r="G293" s="31"/>
      <c r="H293" s="32">
        <f>SUM(H294:H297)</f>
        <v>7620000</v>
      </c>
      <c r="I293" s="32">
        <f>SUM(I294:I297)</f>
        <v>1125000</v>
      </c>
      <c r="J293" s="32">
        <f t="shared" si="121"/>
        <v>8745000</v>
      </c>
      <c r="K293" s="32">
        <f>SUM(K294:K297)</f>
        <v>0</v>
      </c>
      <c r="L293" s="32">
        <f t="shared" si="122"/>
        <v>8745000</v>
      </c>
      <c r="M293" s="32">
        <f>SUM(M294:M297)</f>
        <v>5000000</v>
      </c>
      <c r="N293" s="32">
        <f t="shared" ref="N293:O293" si="152">SUM(N294:N297)</f>
        <v>0</v>
      </c>
      <c r="O293" s="32">
        <f t="shared" si="152"/>
        <v>492560</v>
      </c>
      <c r="P293" s="32">
        <f t="shared" si="134"/>
        <v>5492560</v>
      </c>
      <c r="Q293" s="32"/>
      <c r="R293" s="32">
        <f t="shared" si="135"/>
        <v>5492560</v>
      </c>
      <c r="S293" s="32">
        <f>SUM(S294:S297)</f>
        <v>3070000</v>
      </c>
      <c r="T293" s="32">
        <f t="shared" ref="T293:Z293" si="153">SUM(T294:T297)</f>
        <v>350000</v>
      </c>
      <c r="U293" s="32">
        <f t="shared" si="153"/>
        <v>100000</v>
      </c>
      <c r="V293" s="32">
        <f t="shared" si="153"/>
        <v>0</v>
      </c>
      <c r="W293" s="32">
        <f>SUM(W294:W297)</f>
        <v>340000</v>
      </c>
      <c r="X293" s="32">
        <f t="shared" si="153"/>
        <v>6830000</v>
      </c>
      <c r="Y293" s="32">
        <f t="shared" si="153"/>
        <v>250000</v>
      </c>
      <c r="Z293" s="32">
        <f t="shared" si="153"/>
        <v>200000</v>
      </c>
      <c r="AA293" s="32"/>
      <c r="AB293" s="32"/>
      <c r="AC293" s="32"/>
      <c r="AD293" s="36"/>
      <c r="AE293" s="259"/>
      <c r="AF293" s="260"/>
      <c r="AG293" s="260"/>
      <c r="AH293" s="260"/>
      <c r="AI293" s="260"/>
      <c r="AJ293" s="258"/>
    </row>
    <row r="294" spans="2:36" s="1" customFormat="1" ht="71.400000000000006" x14ac:dyDescent="0.25">
      <c r="B294" s="103" t="s">
        <v>222</v>
      </c>
      <c r="C294" s="104" t="s">
        <v>0</v>
      </c>
      <c r="D294" s="104" t="s">
        <v>37</v>
      </c>
      <c r="E294" s="104"/>
      <c r="F294" s="104"/>
      <c r="G294" s="104"/>
      <c r="H294" s="105">
        <v>6220000</v>
      </c>
      <c r="I294" s="105">
        <v>1125000</v>
      </c>
      <c r="J294" s="105">
        <f t="shared" si="121"/>
        <v>7345000</v>
      </c>
      <c r="K294" s="251"/>
      <c r="L294" s="105">
        <f t="shared" si="122"/>
        <v>7345000</v>
      </c>
      <c r="M294" s="105">
        <v>4730000</v>
      </c>
      <c r="N294" s="105">
        <v>0</v>
      </c>
      <c r="O294" s="36">
        <v>401084</v>
      </c>
      <c r="P294" s="105">
        <f t="shared" si="134"/>
        <v>5131084</v>
      </c>
      <c r="Q294" s="105"/>
      <c r="R294" s="105">
        <f t="shared" si="135"/>
        <v>5131084</v>
      </c>
      <c r="S294" s="105">
        <v>2390000</v>
      </c>
      <c r="T294" s="105"/>
      <c r="U294" s="105"/>
      <c r="V294" s="105"/>
      <c r="W294" s="105">
        <v>170000</v>
      </c>
      <c r="X294" s="105">
        <v>5600000</v>
      </c>
      <c r="Y294" s="105">
        <v>250000</v>
      </c>
      <c r="Z294" s="105">
        <v>200000</v>
      </c>
      <c r="AA294" s="105" t="s">
        <v>473</v>
      </c>
      <c r="AB294" s="105" t="s">
        <v>474</v>
      </c>
      <c r="AC294" s="105" t="s">
        <v>475</v>
      </c>
      <c r="AD294" s="105" t="s">
        <v>476</v>
      </c>
      <c r="AE294" s="259"/>
      <c r="AF294" s="260"/>
      <c r="AG294" s="260"/>
      <c r="AH294" s="260"/>
      <c r="AI294" s="260"/>
      <c r="AJ294" s="258"/>
    </row>
    <row r="295" spans="2:36" s="1" customFormat="1" ht="51" x14ac:dyDescent="0.25">
      <c r="B295" s="106" t="s">
        <v>223</v>
      </c>
      <c r="C295" s="107" t="s">
        <v>0</v>
      </c>
      <c r="D295" s="107" t="s">
        <v>91</v>
      </c>
      <c r="E295" s="107"/>
      <c r="F295" s="107"/>
      <c r="G295" s="107"/>
      <c r="H295" s="108">
        <v>500000</v>
      </c>
      <c r="I295" s="108">
        <v>0</v>
      </c>
      <c r="J295" s="108">
        <f t="shared" si="121"/>
        <v>500000</v>
      </c>
      <c r="K295" s="252"/>
      <c r="L295" s="108">
        <f t="shared" si="122"/>
        <v>500000</v>
      </c>
      <c r="M295" s="108">
        <v>90000</v>
      </c>
      <c r="N295" s="108">
        <v>0</v>
      </c>
      <c r="O295" s="108"/>
      <c r="P295" s="108">
        <f t="shared" si="134"/>
        <v>90000</v>
      </c>
      <c r="Q295" s="108"/>
      <c r="R295" s="108">
        <f t="shared" si="135"/>
        <v>90000</v>
      </c>
      <c r="S295" s="108">
        <v>160000</v>
      </c>
      <c r="T295" s="108">
        <v>250000</v>
      </c>
      <c r="U295" s="108"/>
      <c r="V295" s="108"/>
      <c r="W295" s="108">
        <v>90000</v>
      </c>
      <c r="X295" s="108">
        <v>410000</v>
      </c>
      <c r="Y295" s="108"/>
      <c r="Z295" s="108"/>
      <c r="AA295" s="108">
        <v>2022</v>
      </c>
      <c r="AB295" s="108" t="s">
        <v>477</v>
      </c>
      <c r="AC295" s="108"/>
      <c r="AD295" s="105" t="s">
        <v>478</v>
      </c>
      <c r="AE295" s="259"/>
      <c r="AF295" s="260"/>
      <c r="AG295" s="260"/>
      <c r="AH295" s="260"/>
      <c r="AI295" s="260"/>
      <c r="AJ295" s="258"/>
    </row>
    <row r="296" spans="2:36" s="1" customFormat="1" x14ac:dyDescent="0.25">
      <c r="B296" s="106" t="s">
        <v>224</v>
      </c>
      <c r="C296" s="107" t="s">
        <v>0</v>
      </c>
      <c r="D296" s="107" t="s">
        <v>91</v>
      </c>
      <c r="E296" s="107"/>
      <c r="F296" s="107"/>
      <c r="G296" s="107"/>
      <c r="H296" s="108">
        <v>400000</v>
      </c>
      <c r="I296" s="108">
        <v>0</v>
      </c>
      <c r="J296" s="108">
        <f t="shared" ref="J296:J356" si="154">H296+I296</f>
        <v>400000</v>
      </c>
      <c r="K296" s="252"/>
      <c r="L296" s="108">
        <f t="shared" ref="L296:L356" si="155">J296+K296</f>
        <v>400000</v>
      </c>
      <c r="M296" s="108">
        <v>100000</v>
      </c>
      <c r="N296" s="108">
        <v>0</v>
      </c>
      <c r="O296" s="36">
        <v>91476</v>
      </c>
      <c r="P296" s="108">
        <f t="shared" si="134"/>
        <v>191476</v>
      </c>
      <c r="Q296" s="108"/>
      <c r="R296" s="108">
        <f t="shared" si="135"/>
        <v>191476</v>
      </c>
      <c r="S296" s="108">
        <v>100000</v>
      </c>
      <c r="T296" s="108">
        <v>100000</v>
      </c>
      <c r="U296" s="108">
        <v>100000</v>
      </c>
      <c r="V296" s="108"/>
      <c r="W296" s="108"/>
      <c r="X296" s="108">
        <v>400000</v>
      </c>
      <c r="Y296" s="108"/>
      <c r="Z296" s="108"/>
      <c r="AA296" s="108"/>
      <c r="AB296" s="108" t="s">
        <v>479</v>
      </c>
      <c r="AC296" s="108"/>
      <c r="AD296" s="105" t="s">
        <v>480</v>
      </c>
      <c r="AE296" s="259"/>
      <c r="AF296" s="260"/>
      <c r="AG296" s="260"/>
      <c r="AH296" s="260"/>
      <c r="AI296" s="260"/>
      <c r="AJ296" s="258"/>
    </row>
    <row r="297" spans="2:36" s="1" customFormat="1" ht="40.799999999999997" x14ac:dyDescent="0.25">
      <c r="B297" s="106" t="s">
        <v>225</v>
      </c>
      <c r="C297" s="107" t="s">
        <v>0</v>
      </c>
      <c r="D297" s="107" t="s">
        <v>91</v>
      </c>
      <c r="E297" s="107"/>
      <c r="F297" s="107"/>
      <c r="G297" s="107"/>
      <c r="H297" s="108">
        <v>500000</v>
      </c>
      <c r="I297" s="108">
        <v>0</v>
      </c>
      <c r="J297" s="108">
        <f t="shared" si="154"/>
        <v>500000</v>
      </c>
      <c r="K297" s="252"/>
      <c r="L297" s="108">
        <f t="shared" si="155"/>
        <v>500000</v>
      </c>
      <c r="M297" s="108">
        <v>80000</v>
      </c>
      <c r="N297" s="108">
        <v>0</v>
      </c>
      <c r="O297" s="108"/>
      <c r="P297" s="108">
        <f t="shared" si="134"/>
        <v>80000</v>
      </c>
      <c r="Q297" s="108"/>
      <c r="R297" s="108">
        <f t="shared" si="135"/>
        <v>80000</v>
      </c>
      <c r="S297" s="108">
        <v>420000</v>
      </c>
      <c r="T297" s="108"/>
      <c r="U297" s="108"/>
      <c r="V297" s="108"/>
      <c r="W297" s="108">
        <v>80000</v>
      </c>
      <c r="X297" s="108">
        <v>420000</v>
      </c>
      <c r="Y297" s="108"/>
      <c r="Z297" s="108"/>
      <c r="AA297" s="108">
        <v>2022</v>
      </c>
      <c r="AB297" s="108">
        <v>2023</v>
      </c>
      <c r="AC297" s="108"/>
      <c r="AD297" s="105" t="s">
        <v>481</v>
      </c>
      <c r="AE297" s="259"/>
      <c r="AF297" s="260"/>
      <c r="AG297" s="260"/>
      <c r="AH297" s="260"/>
      <c r="AI297" s="260"/>
      <c r="AJ297" s="258"/>
    </row>
    <row r="298" spans="2:36" ht="15.6" x14ac:dyDescent="0.25">
      <c r="B298" s="31" t="s">
        <v>585</v>
      </c>
      <c r="C298" s="31" t="s">
        <v>0</v>
      </c>
      <c r="D298" s="31"/>
      <c r="E298" s="31"/>
      <c r="F298" s="31"/>
      <c r="G298" s="31"/>
      <c r="H298" s="32">
        <f>SUM(H299:H316)</f>
        <v>27681000</v>
      </c>
      <c r="I298" s="32">
        <f>SUM(I299:I316)</f>
        <v>836000</v>
      </c>
      <c r="J298" s="32">
        <f t="shared" si="154"/>
        <v>28517000</v>
      </c>
      <c r="K298" s="237"/>
      <c r="L298" s="32">
        <f t="shared" si="155"/>
        <v>28517000</v>
      </c>
      <c r="M298" s="32">
        <f>SUM(M299:M316)</f>
        <v>4635000</v>
      </c>
      <c r="N298" s="32">
        <f>SUM(N299:N316)</f>
        <v>566000</v>
      </c>
      <c r="O298" s="32">
        <f>SUM(O299:O316)</f>
        <v>360000</v>
      </c>
      <c r="P298" s="32">
        <f t="shared" si="134"/>
        <v>5561000</v>
      </c>
      <c r="Q298" s="32"/>
      <c r="R298" s="32">
        <f t="shared" si="135"/>
        <v>5561000</v>
      </c>
      <c r="S298" s="32">
        <f>SUM(S299:S316)</f>
        <v>4245000</v>
      </c>
      <c r="T298" s="32">
        <f t="shared" ref="T298:V298" si="156">SUM(T299:T316)</f>
        <v>3000000</v>
      </c>
      <c r="U298" s="32">
        <f t="shared" si="156"/>
        <v>0</v>
      </c>
      <c r="V298" s="32">
        <f t="shared" si="156"/>
        <v>0</v>
      </c>
      <c r="W298" s="32">
        <f t="shared" ref="W298" si="157">SUM(W299:W316)</f>
        <v>30000</v>
      </c>
      <c r="X298" s="32">
        <f t="shared" ref="X298" si="158">SUM(X299:X316)</f>
        <v>1000000</v>
      </c>
      <c r="Y298" s="32">
        <f t="shared" ref="Y298" si="159">SUM(Y299:Y316)</f>
        <v>0</v>
      </c>
      <c r="Z298" s="32">
        <f t="shared" ref="Z298" si="160">SUM(Z299:Z316)</f>
        <v>0</v>
      </c>
      <c r="AA298" s="32"/>
      <c r="AB298" s="32"/>
      <c r="AC298" s="32"/>
      <c r="AD298" s="36"/>
      <c r="AE298" s="259"/>
      <c r="AF298" s="257"/>
      <c r="AG298" s="257"/>
      <c r="AH298" s="257"/>
      <c r="AI298" s="257"/>
      <c r="AJ298" s="258"/>
    </row>
    <row r="299" spans="2:36" s="41" customFormat="1" ht="30.6" x14ac:dyDescent="0.25">
      <c r="B299" s="34" t="s">
        <v>226</v>
      </c>
      <c r="C299" s="35"/>
      <c r="D299" s="35" t="s">
        <v>91</v>
      </c>
      <c r="E299" s="35"/>
      <c r="F299" s="35"/>
      <c r="G299" s="35"/>
      <c r="H299" s="36">
        <v>100000</v>
      </c>
      <c r="I299" s="36">
        <v>0</v>
      </c>
      <c r="J299" s="36">
        <f t="shared" si="154"/>
        <v>100000</v>
      </c>
      <c r="K299" s="238"/>
      <c r="L299" s="36">
        <f t="shared" si="155"/>
        <v>100000</v>
      </c>
      <c r="M299" s="36">
        <f>100000-50000</f>
        <v>50000</v>
      </c>
      <c r="N299" s="36">
        <v>0</v>
      </c>
      <c r="O299" s="36"/>
      <c r="P299" s="36">
        <f t="shared" si="134"/>
        <v>50000</v>
      </c>
      <c r="Q299" s="36"/>
      <c r="R299" s="36">
        <f t="shared" si="135"/>
        <v>50000</v>
      </c>
      <c r="S299" s="36"/>
      <c r="T299" s="36"/>
      <c r="U299" s="36"/>
      <c r="V299" s="36"/>
      <c r="W299" s="36"/>
      <c r="X299" s="36"/>
      <c r="Y299" s="36"/>
      <c r="Z299" s="36"/>
      <c r="AA299" s="36"/>
      <c r="AB299" s="36"/>
      <c r="AC299" s="36"/>
      <c r="AD299" s="36" t="s">
        <v>522</v>
      </c>
      <c r="AE299" s="259"/>
      <c r="AF299" s="262"/>
      <c r="AG299" s="262"/>
      <c r="AH299" s="262"/>
      <c r="AI299" s="262"/>
      <c r="AJ299" s="258"/>
    </row>
    <row r="300" spans="2:36" s="2" customFormat="1" x14ac:dyDescent="0.25">
      <c r="B300" s="34" t="s">
        <v>227</v>
      </c>
      <c r="C300" s="35"/>
      <c r="D300" s="35" t="s">
        <v>91</v>
      </c>
      <c r="E300" s="35"/>
      <c r="F300" s="35"/>
      <c r="G300" s="35"/>
      <c r="H300" s="36">
        <v>600000</v>
      </c>
      <c r="I300" s="36">
        <v>0</v>
      </c>
      <c r="J300" s="36">
        <f t="shared" si="154"/>
        <v>600000</v>
      </c>
      <c r="K300" s="238"/>
      <c r="L300" s="36">
        <f t="shared" si="155"/>
        <v>600000</v>
      </c>
      <c r="M300" s="36">
        <v>60000</v>
      </c>
      <c r="N300" s="36">
        <v>0</v>
      </c>
      <c r="O300" s="36"/>
      <c r="P300" s="36">
        <f t="shared" si="134"/>
        <v>60000</v>
      </c>
      <c r="Q300" s="36"/>
      <c r="R300" s="36">
        <f t="shared" si="135"/>
        <v>60000</v>
      </c>
      <c r="S300" s="36">
        <v>540000</v>
      </c>
      <c r="T300" s="36"/>
      <c r="U300" s="36"/>
      <c r="V300" s="36"/>
      <c r="W300" s="36"/>
      <c r="X300" s="36"/>
      <c r="Y300" s="36"/>
      <c r="Z300" s="36"/>
      <c r="AA300" s="36"/>
      <c r="AB300" s="36"/>
      <c r="AC300" s="36"/>
      <c r="AD300" s="36"/>
      <c r="AE300" s="259"/>
      <c r="AF300" s="263"/>
      <c r="AG300" s="263"/>
      <c r="AH300" s="263"/>
      <c r="AI300" s="263"/>
      <c r="AJ300" s="258"/>
    </row>
    <row r="301" spans="2:36" s="1" customFormat="1" ht="51" x14ac:dyDescent="0.25">
      <c r="B301" s="34" t="s">
        <v>228</v>
      </c>
      <c r="C301" s="35"/>
      <c r="D301" s="35" t="s">
        <v>91</v>
      </c>
      <c r="E301" s="35"/>
      <c r="F301" s="35"/>
      <c r="G301" s="35"/>
      <c r="H301" s="36">
        <v>4100000</v>
      </c>
      <c r="I301" s="36">
        <v>0</v>
      </c>
      <c r="J301" s="36">
        <f t="shared" si="154"/>
        <v>4100000</v>
      </c>
      <c r="K301" s="238">
        <v>50000</v>
      </c>
      <c r="L301" s="36">
        <f t="shared" si="155"/>
        <v>4150000</v>
      </c>
      <c r="M301" s="36">
        <v>150000</v>
      </c>
      <c r="N301" s="36">
        <v>0</v>
      </c>
      <c r="O301" s="36"/>
      <c r="P301" s="36">
        <f t="shared" si="134"/>
        <v>150000</v>
      </c>
      <c r="Q301" s="36"/>
      <c r="R301" s="36">
        <f t="shared" si="135"/>
        <v>150000</v>
      </c>
      <c r="S301" s="36">
        <v>2000000</v>
      </c>
      <c r="T301" s="36">
        <v>2000000</v>
      </c>
      <c r="U301" s="36"/>
      <c r="V301" s="36"/>
      <c r="W301" s="36"/>
      <c r="X301" s="36"/>
      <c r="Y301" s="36"/>
      <c r="Z301" s="36"/>
      <c r="AA301" s="36"/>
      <c r="AB301" s="36"/>
      <c r="AC301" s="36"/>
      <c r="AD301" s="36" t="s">
        <v>523</v>
      </c>
      <c r="AE301" s="259"/>
      <c r="AF301" s="260"/>
      <c r="AG301" s="260"/>
      <c r="AH301" s="260"/>
      <c r="AI301" s="260"/>
      <c r="AJ301" s="258"/>
    </row>
    <row r="302" spans="2:36" s="1" customFormat="1" ht="20.399999999999999" x14ac:dyDescent="0.25">
      <c r="B302" s="109" t="s">
        <v>229</v>
      </c>
      <c r="C302" s="104"/>
      <c r="D302" s="104" t="s">
        <v>91</v>
      </c>
      <c r="E302" s="104"/>
      <c r="F302" s="104"/>
      <c r="G302" s="104"/>
      <c r="H302" s="105">
        <v>550000</v>
      </c>
      <c r="I302" s="105">
        <v>0</v>
      </c>
      <c r="J302" s="105">
        <f t="shared" si="154"/>
        <v>550000</v>
      </c>
      <c r="K302" s="105"/>
      <c r="L302" s="105">
        <f t="shared" si="155"/>
        <v>550000</v>
      </c>
      <c r="M302" s="105">
        <v>50000</v>
      </c>
      <c r="N302" s="105">
        <v>0</v>
      </c>
      <c r="O302" s="105"/>
      <c r="P302" s="105">
        <f t="shared" si="134"/>
        <v>50000</v>
      </c>
      <c r="Q302" s="105"/>
      <c r="R302" s="105">
        <f t="shared" si="135"/>
        <v>50000</v>
      </c>
      <c r="S302" s="105">
        <v>500000</v>
      </c>
      <c r="T302" s="105"/>
      <c r="U302" s="105"/>
      <c r="V302" s="105"/>
      <c r="W302" s="105"/>
      <c r="X302" s="105"/>
      <c r="Y302" s="105"/>
      <c r="Z302" s="105"/>
      <c r="AA302" s="105"/>
      <c r="AB302" s="105"/>
      <c r="AC302" s="105"/>
      <c r="AD302" s="105" t="s">
        <v>456</v>
      </c>
      <c r="AE302" s="259"/>
      <c r="AF302" s="260"/>
      <c r="AG302" s="260"/>
      <c r="AH302" s="260"/>
      <c r="AI302" s="260"/>
      <c r="AJ302" s="258"/>
    </row>
    <row r="303" spans="2:36" s="1" customFormat="1" x14ac:dyDescent="0.25">
      <c r="B303" s="34" t="s">
        <v>230</v>
      </c>
      <c r="C303" s="35"/>
      <c r="D303" s="35" t="s">
        <v>91</v>
      </c>
      <c r="E303" s="35"/>
      <c r="F303" s="35"/>
      <c r="G303" s="35"/>
      <c r="H303" s="36">
        <v>1255000</v>
      </c>
      <c r="I303" s="36">
        <v>0</v>
      </c>
      <c r="J303" s="36">
        <f t="shared" si="154"/>
        <v>1255000</v>
      </c>
      <c r="K303" s="36"/>
      <c r="L303" s="36">
        <f t="shared" si="155"/>
        <v>1255000</v>
      </c>
      <c r="M303" s="36">
        <v>50000</v>
      </c>
      <c r="N303" s="36">
        <v>0</v>
      </c>
      <c r="O303" s="36"/>
      <c r="P303" s="36">
        <f t="shared" si="134"/>
        <v>50000</v>
      </c>
      <c r="Q303" s="36"/>
      <c r="R303" s="36">
        <f t="shared" si="135"/>
        <v>50000</v>
      </c>
      <c r="S303" s="36">
        <v>1205000</v>
      </c>
      <c r="T303" s="36"/>
      <c r="U303" s="36"/>
      <c r="V303" s="36"/>
      <c r="W303" s="36"/>
      <c r="X303" s="36"/>
      <c r="Y303" s="36"/>
      <c r="Z303" s="36"/>
      <c r="AA303" s="36"/>
      <c r="AB303" s="36"/>
      <c r="AC303" s="36"/>
      <c r="AD303" s="36" t="s">
        <v>482</v>
      </c>
      <c r="AE303" s="259"/>
      <c r="AF303" s="260"/>
      <c r="AG303" s="260"/>
      <c r="AH303" s="260"/>
      <c r="AI303" s="260"/>
      <c r="AJ303" s="258"/>
    </row>
    <row r="304" spans="2:36" s="1" customFormat="1" x14ac:dyDescent="0.25">
      <c r="B304" s="34" t="s">
        <v>231</v>
      </c>
      <c r="C304" s="35"/>
      <c r="D304" s="35" t="s">
        <v>91</v>
      </c>
      <c r="E304" s="35"/>
      <c r="F304" s="35"/>
      <c r="G304" s="35">
        <v>2022</v>
      </c>
      <c r="H304" s="36">
        <v>1950000</v>
      </c>
      <c r="I304" s="36">
        <v>0</v>
      </c>
      <c r="J304" s="36">
        <f t="shared" si="154"/>
        <v>1950000</v>
      </c>
      <c r="K304" s="36"/>
      <c r="L304" s="36">
        <f t="shared" si="155"/>
        <v>1950000</v>
      </c>
      <c r="M304" s="36">
        <v>1950000</v>
      </c>
      <c r="N304" s="36">
        <v>0</v>
      </c>
      <c r="O304" s="36"/>
      <c r="P304" s="36">
        <f t="shared" si="134"/>
        <v>1950000</v>
      </c>
      <c r="Q304" s="36"/>
      <c r="R304" s="36">
        <f t="shared" si="135"/>
        <v>1950000</v>
      </c>
      <c r="S304" s="36"/>
      <c r="T304" s="36"/>
      <c r="U304" s="36"/>
      <c r="V304" s="36"/>
      <c r="W304" s="36"/>
      <c r="X304" s="36"/>
      <c r="Y304" s="36"/>
      <c r="Z304" s="36"/>
      <c r="AA304" s="36"/>
      <c r="AB304" s="36"/>
      <c r="AC304" s="36"/>
      <c r="AD304" s="36" t="s">
        <v>483</v>
      </c>
      <c r="AE304" s="259"/>
      <c r="AF304" s="260"/>
      <c r="AG304" s="260"/>
      <c r="AH304" s="260"/>
      <c r="AI304" s="260"/>
      <c r="AJ304" s="258"/>
    </row>
    <row r="305" spans="2:36" s="1" customFormat="1" x14ac:dyDescent="0.25">
      <c r="B305" s="34" t="s">
        <v>232</v>
      </c>
      <c r="C305" s="35"/>
      <c r="D305" s="35" t="s">
        <v>91</v>
      </c>
      <c r="E305" s="35"/>
      <c r="F305" s="35"/>
      <c r="G305" s="35">
        <v>2022</v>
      </c>
      <c r="H305" s="36">
        <v>838000</v>
      </c>
      <c r="I305" s="36">
        <v>0</v>
      </c>
      <c r="J305" s="36">
        <f t="shared" si="154"/>
        <v>838000</v>
      </c>
      <c r="K305" s="36"/>
      <c r="L305" s="36">
        <f t="shared" si="155"/>
        <v>838000</v>
      </c>
      <c r="M305" s="36">
        <f>688000-388000</f>
        <v>300000</v>
      </c>
      <c r="N305" s="36">
        <v>0</v>
      </c>
      <c r="O305" s="36"/>
      <c r="P305" s="36">
        <f t="shared" si="134"/>
        <v>300000</v>
      </c>
      <c r="Q305" s="36"/>
      <c r="R305" s="36">
        <f t="shared" si="135"/>
        <v>300000</v>
      </c>
      <c r="S305" s="36"/>
      <c r="T305" s="36"/>
      <c r="U305" s="36"/>
      <c r="V305" s="36"/>
      <c r="W305" s="36"/>
      <c r="X305" s="36"/>
      <c r="Y305" s="36"/>
      <c r="Z305" s="36"/>
      <c r="AA305" s="36"/>
      <c r="AB305" s="36"/>
      <c r="AC305" s="36"/>
      <c r="AD305" s="36" t="s">
        <v>484</v>
      </c>
      <c r="AE305" s="259"/>
      <c r="AF305" s="260"/>
      <c r="AG305" s="260"/>
      <c r="AH305" s="260"/>
      <c r="AI305" s="260"/>
      <c r="AJ305" s="258"/>
    </row>
    <row r="306" spans="2:36" s="1" customFormat="1" x14ac:dyDescent="0.25">
      <c r="B306" s="34" t="s">
        <v>233</v>
      </c>
      <c r="C306" s="35"/>
      <c r="D306" s="35" t="s">
        <v>234</v>
      </c>
      <c r="E306" s="35"/>
      <c r="F306" s="35"/>
      <c r="G306" s="35"/>
      <c r="H306" s="36">
        <f>903500+404500</f>
        <v>1308000</v>
      </c>
      <c r="I306" s="36">
        <v>470000</v>
      </c>
      <c r="J306" s="36">
        <f t="shared" si="154"/>
        <v>1778000</v>
      </c>
      <c r="K306" s="36"/>
      <c r="L306" s="36">
        <f t="shared" si="155"/>
        <v>1778000</v>
      </c>
      <c r="M306" s="36">
        <f>400000-45000+290000+400000</f>
        <v>1045000</v>
      </c>
      <c r="N306" s="36">
        <v>200000</v>
      </c>
      <c r="O306" s="36">
        <v>110000</v>
      </c>
      <c r="P306" s="36">
        <f t="shared" si="134"/>
        <v>1355000</v>
      </c>
      <c r="Q306" s="36"/>
      <c r="R306" s="36">
        <f t="shared" si="135"/>
        <v>1355000</v>
      </c>
      <c r="S306" s="36"/>
      <c r="T306" s="36"/>
      <c r="U306" s="36"/>
      <c r="V306" s="36"/>
      <c r="W306" s="36"/>
      <c r="X306" s="36"/>
      <c r="Y306" s="36"/>
      <c r="Z306" s="36"/>
      <c r="AA306" s="36"/>
      <c r="AB306" s="36"/>
      <c r="AC306" s="36"/>
      <c r="AD306" s="36"/>
      <c r="AE306" s="259"/>
      <c r="AF306" s="260"/>
      <c r="AG306" s="260"/>
      <c r="AH306" s="260"/>
      <c r="AI306" s="260"/>
      <c r="AJ306" s="258"/>
    </row>
    <row r="307" spans="2:36" s="1" customFormat="1" x14ac:dyDescent="0.25">
      <c r="B307" s="56" t="s">
        <v>235</v>
      </c>
      <c r="C307" s="57"/>
      <c r="D307" s="57" t="s">
        <v>91</v>
      </c>
      <c r="E307" s="57"/>
      <c r="F307" s="57"/>
      <c r="G307" s="57">
        <v>2022</v>
      </c>
      <c r="H307" s="58">
        <v>300000</v>
      </c>
      <c r="I307" s="58">
        <v>-60000</v>
      </c>
      <c r="J307" s="58">
        <f t="shared" si="154"/>
        <v>240000</v>
      </c>
      <c r="K307" s="58"/>
      <c r="L307" s="58">
        <f t="shared" si="155"/>
        <v>240000</v>
      </c>
      <c r="M307" s="58">
        <v>300000</v>
      </c>
      <c r="N307" s="58">
        <v>-60000</v>
      </c>
      <c r="O307" s="58"/>
      <c r="P307" s="58">
        <f t="shared" si="134"/>
        <v>240000</v>
      </c>
      <c r="Q307" s="58"/>
      <c r="R307" s="58">
        <f t="shared" si="135"/>
        <v>240000</v>
      </c>
      <c r="S307" s="58"/>
      <c r="T307" s="58"/>
      <c r="U307" s="58"/>
      <c r="V307" s="58"/>
      <c r="W307" s="58"/>
      <c r="X307" s="58"/>
      <c r="Y307" s="58"/>
      <c r="Z307" s="58"/>
      <c r="AA307" s="58"/>
      <c r="AB307" s="58"/>
      <c r="AC307" s="58"/>
      <c r="AD307" s="36"/>
      <c r="AE307" s="259"/>
      <c r="AF307" s="260"/>
      <c r="AG307" s="260"/>
      <c r="AH307" s="260"/>
      <c r="AI307" s="260"/>
      <c r="AJ307" s="258"/>
    </row>
    <row r="308" spans="2:36" s="1" customFormat="1" x14ac:dyDescent="0.25">
      <c r="B308" s="253" t="s">
        <v>485</v>
      </c>
      <c r="C308" s="35"/>
      <c r="D308" s="35" t="s">
        <v>91</v>
      </c>
      <c r="E308" s="35" t="s">
        <v>340</v>
      </c>
      <c r="F308" s="35"/>
      <c r="G308" s="35">
        <v>2022</v>
      </c>
      <c r="H308" s="36">
        <v>30000</v>
      </c>
      <c r="I308" s="36">
        <v>0</v>
      </c>
      <c r="J308" s="36">
        <f t="shared" si="154"/>
        <v>30000</v>
      </c>
      <c r="K308" s="36">
        <v>1000000</v>
      </c>
      <c r="L308" s="36">
        <f t="shared" si="155"/>
        <v>1030000</v>
      </c>
      <c r="M308" s="36">
        <v>30000</v>
      </c>
      <c r="N308" s="36">
        <v>0</v>
      </c>
      <c r="O308" s="36"/>
      <c r="P308" s="36">
        <f t="shared" si="134"/>
        <v>30000</v>
      </c>
      <c r="Q308" s="36"/>
      <c r="R308" s="36">
        <f t="shared" si="135"/>
        <v>30000</v>
      </c>
      <c r="S308" s="36"/>
      <c r="T308" s="36">
        <v>1000000</v>
      </c>
      <c r="U308" s="36"/>
      <c r="V308" s="36"/>
      <c r="W308" s="36">
        <v>30000</v>
      </c>
      <c r="X308" s="36">
        <v>1000000</v>
      </c>
      <c r="Y308" s="36"/>
      <c r="Z308" s="36"/>
      <c r="AA308" s="36">
        <v>2022</v>
      </c>
      <c r="AB308" s="36">
        <v>2024</v>
      </c>
      <c r="AC308" s="36"/>
      <c r="AD308" s="36"/>
      <c r="AE308" s="259"/>
      <c r="AF308" s="260"/>
      <c r="AG308" s="260"/>
      <c r="AH308" s="260"/>
      <c r="AI308" s="260"/>
      <c r="AJ308" s="258"/>
    </row>
    <row r="309" spans="2:36" s="1" customFormat="1" x14ac:dyDescent="0.25">
      <c r="B309" s="34" t="s">
        <v>236</v>
      </c>
      <c r="C309" s="35"/>
      <c r="D309" s="35" t="s">
        <v>91</v>
      </c>
      <c r="E309" s="35"/>
      <c r="F309" s="35"/>
      <c r="G309" s="35"/>
      <c r="H309" s="36">
        <v>350000</v>
      </c>
      <c r="I309" s="36">
        <v>0</v>
      </c>
      <c r="J309" s="36">
        <f t="shared" si="154"/>
        <v>350000</v>
      </c>
      <c r="K309" s="36"/>
      <c r="L309" s="36">
        <f t="shared" si="155"/>
        <v>350000</v>
      </c>
      <c r="M309" s="36">
        <v>250000</v>
      </c>
      <c r="N309" s="36">
        <v>0</v>
      </c>
      <c r="O309" s="36">
        <v>250000</v>
      </c>
      <c r="P309" s="36">
        <f t="shared" si="134"/>
        <v>500000</v>
      </c>
      <c r="Q309" s="36"/>
      <c r="R309" s="36">
        <f t="shared" si="135"/>
        <v>500000</v>
      </c>
      <c r="S309" s="36"/>
      <c r="T309" s="36"/>
      <c r="U309" s="36"/>
      <c r="V309" s="36"/>
      <c r="W309" s="36"/>
      <c r="X309" s="36"/>
      <c r="Y309" s="36"/>
      <c r="Z309" s="36"/>
      <c r="AA309" s="36"/>
      <c r="AB309" s="36"/>
      <c r="AC309" s="36"/>
      <c r="AD309" s="36" t="s">
        <v>457</v>
      </c>
      <c r="AE309" s="259"/>
      <c r="AF309" s="260"/>
      <c r="AG309" s="260"/>
      <c r="AH309" s="260"/>
      <c r="AI309" s="260"/>
      <c r="AJ309" s="258"/>
    </row>
    <row r="310" spans="2:36" s="1" customFormat="1" x14ac:dyDescent="0.25">
      <c r="B310" s="34" t="s">
        <v>237</v>
      </c>
      <c r="C310" s="35"/>
      <c r="D310" s="35" t="s">
        <v>91</v>
      </c>
      <c r="E310" s="35"/>
      <c r="F310" s="35"/>
      <c r="G310" s="35">
        <v>2022</v>
      </c>
      <c r="H310" s="36">
        <v>300000</v>
      </c>
      <c r="I310" s="36">
        <v>0</v>
      </c>
      <c r="J310" s="36">
        <f t="shared" si="154"/>
        <v>300000</v>
      </c>
      <c r="K310" s="36"/>
      <c r="L310" s="36">
        <f t="shared" si="155"/>
        <v>300000</v>
      </c>
      <c r="M310" s="36">
        <v>300000</v>
      </c>
      <c r="N310" s="36">
        <v>0</v>
      </c>
      <c r="O310" s="36"/>
      <c r="P310" s="36">
        <f t="shared" si="134"/>
        <v>300000</v>
      </c>
      <c r="Q310" s="36"/>
      <c r="R310" s="36">
        <f t="shared" si="135"/>
        <v>300000</v>
      </c>
      <c r="S310" s="36"/>
      <c r="T310" s="36"/>
      <c r="U310" s="36"/>
      <c r="V310" s="36"/>
      <c r="W310" s="36"/>
      <c r="X310" s="36"/>
      <c r="Y310" s="36"/>
      <c r="Z310" s="36"/>
      <c r="AA310" s="36"/>
      <c r="AB310" s="36"/>
      <c r="AC310" s="36"/>
      <c r="AD310" s="36" t="s">
        <v>457</v>
      </c>
      <c r="AE310" s="259"/>
      <c r="AF310" s="260"/>
      <c r="AG310" s="260"/>
      <c r="AH310" s="260"/>
      <c r="AI310" s="260"/>
      <c r="AJ310" s="258"/>
    </row>
    <row r="311" spans="2:36" s="1" customFormat="1" x14ac:dyDescent="0.25">
      <c r="B311" s="217" t="s">
        <v>555</v>
      </c>
      <c r="C311" s="218"/>
      <c r="D311" s="218" t="s">
        <v>91</v>
      </c>
      <c r="E311" s="35"/>
      <c r="F311" s="35"/>
      <c r="G311" s="35"/>
      <c r="H311" s="36"/>
      <c r="I311" s="36">
        <v>150000</v>
      </c>
      <c r="J311" s="36">
        <f t="shared" si="154"/>
        <v>150000</v>
      </c>
      <c r="K311" s="36"/>
      <c r="L311" s="36">
        <f t="shared" si="155"/>
        <v>150000</v>
      </c>
      <c r="M311" s="36"/>
      <c r="N311" s="36">
        <v>150000</v>
      </c>
      <c r="O311" s="36"/>
      <c r="P311" s="36">
        <f t="shared" si="134"/>
        <v>150000</v>
      </c>
      <c r="Q311" s="36"/>
      <c r="R311" s="36">
        <f t="shared" si="135"/>
        <v>150000</v>
      </c>
      <c r="S311" s="36"/>
      <c r="T311" s="36"/>
      <c r="U311" s="36"/>
      <c r="V311" s="36"/>
      <c r="W311" s="36"/>
      <c r="X311" s="36"/>
      <c r="Y311" s="36"/>
      <c r="Z311" s="36"/>
      <c r="AA311" s="36"/>
      <c r="AB311" s="36"/>
      <c r="AC311" s="36"/>
      <c r="AD311" s="36"/>
      <c r="AE311" s="259"/>
      <c r="AF311" s="260"/>
      <c r="AG311" s="260"/>
      <c r="AH311" s="260"/>
      <c r="AI311" s="260"/>
      <c r="AJ311" s="258"/>
    </row>
    <row r="312" spans="2:36" s="1" customFormat="1" x14ac:dyDescent="0.25">
      <c r="B312" s="217" t="s">
        <v>556</v>
      </c>
      <c r="C312" s="218"/>
      <c r="D312" s="218" t="s">
        <v>91</v>
      </c>
      <c r="E312" s="35"/>
      <c r="F312" s="35"/>
      <c r="G312" s="35"/>
      <c r="H312" s="36"/>
      <c r="I312" s="36">
        <v>50000</v>
      </c>
      <c r="J312" s="36">
        <f t="shared" si="154"/>
        <v>50000</v>
      </c>
      <c r="K312" s="36"/>
      <c r="L312" s="36">
        <f t="shared" si="155"/>
        <v>50000</v>
      </c>
      <c r="M312" s="36"/>
      <c r="N312" s="36">
        <v>50000</v>
      </c>
      <c r="O312" s="36"/>
      <c r="P312" s="36">
        <f t="shared" si="134"/>
        <v>50000</v>
      </c>
      <c r="Q312" s="36"/>
      <c r="R312" s="36">
        <f t="shared" si="135"/>
        <v>50000</v>
      </c>
      <c r="S312" s="36"/>
      <c r="T312" s="36"/>
      <c r="U312" s="36"/>
      <c r="V312" s="36"/>
      <c r="W312" s="36"/>
      <c r="X312" s="36"/>
      <c r="Y312" s="36"/>
      <c r="Z312" s="36"/>
      <c r="AA312" s="36"/>
      <c r="AB312" s="36"/>
      <c r="AC312" s="36"/>
      <c r="AD312" s="36"/>
      <c r="AE312" s="259"/>
      <c r="AF312" s="260"/>
      <c r="AG312" s="260"/>
      <c r="AH312" s="260"/>
      <c r="AI312" s="260"/>
      <c r="AJ312" s="258"/>
    </row>
    <row r="313" spans="2:36" s="1" customFormat="1" x14ac:dyDescent="0.25">
      <c r="B313" s="217" t="s">
        <v>557</v>
      </c>
      <c r="C313" s="35"/>
      <c r="D313" s="35" t="s">
        <v>91</v>
      </c>
      <c r="E313" s="35"/>
      <c r="F313" s="35"/>
      <c r="G313" s="35"/>
      <c r="H313" s="36"/>
      <c r="I313" s="36">
        <v>50000</v>
      </c>
      <c r="J313" s="36">
        <f t="shared" si="154"/>
        <v>50000</v>
      </c>
      <c r="K313" s="36"/>
      <c r="L313" s="36">
        <f t="shared" si="155"/>
        <v>50000</v>
      </c>
      <c r="M313" s="36"/>
      <c r="N313" s="36">
        <v>50000</v>
      </c>
      <c r="O313" s="36"/>
      <c r="P313" s="36">
        <f t="shared" si="134"/>
        <v>50000</v>
      </c>
      <c r="Q313" s="36"/>
      <c r="R313" s="36">
        <f t="shared" si="135"/>
        <v>50000</v>
      </c>
      <c r="S313" s="36"/>
      <c r="T313" s="36"/>
      <c r="U313" s="36"/>
      <c r="V313" s="36"/>
      <c r="W313" s="36"/>
      <c r="X313" s="36"/>
      <c r="Y313" s="36"/>
      <c r="Z313" s="36"/>
      <c r="AA313" s="36"/>
      <c r="AB313" s="36"/>
      <c r="AC313" s="36"/>
      <c r="AD313" s="36"/>
      <c r="AE313" s="259"/>
      <c r="AF313" s="260"/>
      <c r="AG313" s="260"/>
      <c r="AH313" s="260"/>
      <c r="AI313" s="260"/>
      <c r="AJ313" s="258"/>
    </row>
    <row r="314" spans="2:36" s="1" customFormat="1" x14ac:dyDescent="0.25">
      <c r="B314" s="217" t="s">
        <v>586</v>
      </c>
      <c r="C314" s="218"/>
      <c r="D314" s="218" t="s">
        <v>312</v>
      </c>
      <c r="E314" s="35"/>
      <c r="F314" s="35"/>
      <c r="G314" s="35"/>
      <c r="H314" s="36"/>
      <c r="I314" s="36">
        <v>156000</v>
      </c>
      <c r="J314" s="36">
        <f t="shared" si="154"/>
        <v>156000</v>
      </c>
      <c r="K314" s="36"/>
      <c r="L314" s="36">
        <f t="shared" si="155"/>
        <v>156000</v>
      </c>
      <c r="M314" s="36"/>
      <c r="N314" s="36">
        <v>156000</v>
      </c>
      <c r="O314" s="36"/>
      <c r="P314" s="36">
        <f t="shared" si="134"/>
        <v>156000</v>
      </c>
      <c r="Q314" s="36"/>
      <c r="R314" s="36">
        <f t="shared" si="135"/>
        <v>156000</v>
      </c>
      <c r="S314" s="36"/>
      <c r="T314" s="36"/>
      <c r="U314" s="36"/>
      <c r="V314" s="36"/>
      <c r="W314" s="36"/>
      <c r="X314" s="36"/>
      <c r="Y314" s="36"/>
      <c r="Z314" s="36"/>
      <c r="AA314" s="36"/>
      <c r="AB314" s="36"/>
      <c r="AC314" s="36"/>
      <c r="AD314" s="36"/>
      <c r="AE314" s="259"/>
      <c r="AF314" s="260"/>
      <c r="AG314" s="260"/>
      <c r="AH314" s="260"/>
      <c r="AI314" s="260"/>
      <c r="AJ314" s="258"/>
    </row>
    <row r="315" spans="2:36" s="1" customFormat="1" x14ac:dyDescent="0.25">
      <c r="B315" s="217" t="s">
        <v>558</v>
      </c>
      <c r="C315" s="218"/>
      <c r="D315" s="218" t="s">
        <v>331</v>
      </c>
      <c r="E315" s="35"/>
      <c r="F315" s="35"/>
      <c r="G315" s="35"/>
      <c r="H315" s="36"/>
      <c r="I315" s="36">
        <v>20000</v>
      </c>
      <c r="J315" s="36">
        <f t="shared" si="154"/>
        <v>20000</v>
      </c>
      <c r="K315" s="36"/>
      <c r="L315" s="36">
        <f t="shared" si="155"/>
        <v>20000</v>
      </c>
      <c r="M315" s="36"/>
      <c r="N315" s="36">
        <v>20000</v>
      </c>
      <c r="O315" s="36"/>
      <c r="P315" s="36">
        <f t="shared" si="134"/>
        <v>20000</v>
      </c>
      <c r="Q315" s="36"/>
      <c r="R315" s="36">
        <f t="shared" si="135"/>
        <v>20000</v>
      </c>
      <c r="S315" s="36"/>
      <c r="T315" s="36"/>
      <c r="U315" s="36"/>
      <c r="V315" s="36"/>
      <c r="W315" s="36"/>
      <c r="X315" s="36"/>
      <c r="Y315" s="36"/>
      <c r="Z315" s="36"/>
      <c r="AA315" s="36"/>
      <c r="AB315" s="36"/>
      <c r="AC315" s="36"/>
      <c r="AD315" s="36"/>
      <c r="AE315" s="259"/>
      <c r="AF315" s="260"/>
      <c r="AG315" s="260"/>
      <c r="AH315" s="260"/>
      <c r="AI315" s="260"/>
      <c r="AJ315" s="258"/>
    </row>
    <row r="316" spans="2:36" s="1" customFormat="1" ht="30.6" x14ac:dyDescent="0.25">
      <c r="B316" s="34" t="s">
        <v>238</v>
      </c>
      <c r="C316" s="35"/>
      <c r="D316" s="35" t="s">
        <v>91</v>
      </c>
      <c r="E316" s="35"/>
      <c r="F316" s="35"/>
      <c r="G316" s="35"/>
      <c r="H316" s="36">
        <v>16000000</v>
      </c>
      <c r="I316" s="36">
        <v>0</v>
      </c>
      <c r="J316" s="36">
        <f t="shared" si="154"/>
        <v>16000000</v>
      </c>
      <c r="K316" s="36"/>
      <c r="L316" s="36">
        <f t="shared" si="155"/>
        <v>16000000</v>
      </c>
      <c r="M316" s="36">
        <v>100000</v>
      </c>
      <c r="N316" s="36">
        <v>0</v>
      </c>
      <c r="O316" s="36"/>
      <c r="P316" s="36">
        <f t="shared" si="134"/>
        <v>100000</v>
      </c>
      <c r="Q316" s="36"/>
      <c r="R316" s="36">
        <f t="shared" si="135"/>
        <v>100000</v>
      </c>
      <c r="S316" s="36" t="s">
        <v>525</v>
      </c>
      <c r="T316" s="36" t="s">
        <v>525</v>
      </c>
      <c r="U316" s="36" t="s">
        <v>525</v>
      </c>
      <c r="V316" s="36" t="s">
        <v>525</v>
      </c>
      <c r="W316" s="36"/>
      <c r="X316" s="36"/>
      <c r="Y316" s="36"/>
      <c r="Z316" s="36"/>
      <c r="AA316" s="36"/>
      <c r="AB316" s="36"/>
      <c r="AC316" s="36"/>
      <c r="AD316" s="36" t="s">
        <v>486</v>
      </c>
      <c r="AE316" s="259"/>
      <c r="AF316" s="260"/>
      <c r="AG316" s="260"/>
      <c r="AH316" s="260"/>
      <c r="AI316" s="260"/>
      <c r="AJ316" s="258"/>
    </row>
    <row r="317" spans="2:36" ht="15.6" x14ac:dyDescent="0.25">
      <c r="B317" s="31" t="s">
        <v>587</v>
      </c>
      <c r="C317" s="31" t="s">
        <v>0</v>
      </c>
      <c r="D317" s="31"/>
      <c r="E317" s="31"/>
      <c r="F317" s="31"/>
      <c r="G317" s="31"/>
      <c r="H317" s="32">
        <f>SUM(H318:H328)</f>
        <v>3733000</v>
      </c>
      <c r="I317" s="32">
        <f>SUM(I318:I328)</f>
        <v>1169000</v>
      </c>
      <c r="J317" s="32">
        <f t="shared" si="154"/>
        <v>4902000</v>
      </c>
      <c r="K317" s="32"/>
      <c r="L317" s="32">
        <f t="shared" si="155"/>
        <v>4902000</v>
      </c>
      <c r="M317" s="32">
        <f>SUM(M318:M328)</f>
        <v>3412000</v>
      </c>
      <c r="N317" s="32">
        <f>SUM(N318:N328)</f>
        <v>450000</v>
      </c>
      <c r="O317" s="32">
        <f>SUM(O318:O328)</f>
        <v>140807</v>
      </c>
      <c r="P317" s="32">
        <f t="shared" si="134"/>
        <v>4002807</v>
      </c>
      <c r="Q317" s="32"/>
      <c r="R317" s="32">
        <f t="shared" si="135"/>
        <v>4002807</v>
      </c>
      <c r="S317" s="32">
        <f>SUM(S318:S328)</f>
        <v>0</v>
      </c>
      <c r="T317" s="32">
        <f t="shared" ref="T317" si="161">SUM(T318:T328)</f>
        <v>0</v>
      </c>
      <c r="U317" s="32">
        <f t="shared" ref="U317" si="162">SUM(U318:U328)</f>
        <v>0</v>
      </c>
      <c r="V317" s="32">
        <f t="shared" ref="V317" si="163">SUM(V318:V328)</f>
        <v>0</v>
      </c>
      <c r="W317" s="32">
        <f t="shared" ref="W317" si="164">SUM(W318:W328)</f>
        <v>0</v>
      </c>
      <c r="X317" s="32">
        <f t="shared" ref="X317" si="165">SUM(X318:X328)</f>
        <v>0</v>
      </c>
      <c r="Y317" s="32">
        <f t="shared" ref="Y317" si="166">SUM(Y318:Y328)</f>
        <v>0</v>
      </c>
      <c r="Z317" s="32">
        <f t="shared" ref="Z317" si="167">SUM(Z318:Z328)</f>
        <v>0</v>
      </c>
      <c r="AA317" s="32"/>
      <c r="AB317" s="32"/>
      <c r="AC317" s="32"/>
      <c r="AD317" s="36"/>
      <c r="AE317" s="259"/>
      <c r="AF317" s="257"/>
      <c r="AG317" s="257"/>
      <c r="AH317" s="257"/>
      <c r="AI317" s="257"/>
      <c r="AJ317" s="258"/>
    </row>
    <row r="318" spans="2:36" s="1" customFormat="1" ht="30.6" x14ac:dyDescent="0.25">
      <c r="B318" s="110" t="s">
        <v>239</v>
      </c>
      <c r="C318" s="107"/>
      <c r="D318" s="107" t="s">
        <v>91</v>
      </c>
      <c r="E318" s="107"/>
      <c r="F318" s="107"/>
      <c r="G318" s="107">
        <v>2022</v>
      </c>
      <c r="H318" s="108">
        <v>300000</v>
      </c>
      <c r="I318" s="108">
        <v>0</v>
      </c>
      <c r="J318" s="108">
        <f t="shared" si="154"/>
        <v>300000</v>
      </c>
      <c r="K318" s="108"/>
      <c r="L318" s="108">
        <f t="shared" si="155"/>
        <v>300000</v>
      </c>
      <c r="M318" s="108">
        <v>300000</v>
      </c>
      <c r="N318" s="108">
        <v>-250000</v>
      </c>
      <c r="O318" s="108"/>
      <c r="P318" s="108">
        <f t="shared" si="134"/>
        <v>50000</v>
      </c>
      <c r="Q318" s="108"/>
      <c r="R318" s="108">
        <f t="shared" si="135"/>
        <v>50000</v>
      </c>
      <c r="S318" s="108"/>
      <c r="T318" s="108"/>
      <c r="U318" s="108"/>
      <c r="V318" s="108"/>
      <c r="W318" s="108"/>
      <c r="X318" s="108"/>
      <c r="Y318" s="108"/>
      <c r="Z318" s="108"/>
      <c r="AA318" s="108"/>
      <c r="AB318" s="108"/>
      <c r="AC318" s="108"/>
      <c r="AD318" s="105" t="s">
        <v>487</v>
      </c>
      <c r="AE318" s="259"/>
      <c r="AF318" s="260"/>
      <c r="AG318" s="260"/>
      <c r="AH318" s="260"/>
      <c r="AI318" s="260"/>
      <c r="AJ318" s="258"/>
    </row>
    <row r="319" spans="2:36" s="1" customFormat="1" ht="30.6" x14ac:dyDescent="0.25">
      <c r="B319" s="110" t="s">
        <v>240</v>
      </c>
      <c r="C319" s="107"/>
      <c r="D319" s="107" t="s">
        <v>91</v>
      </c>
      <c r="E319" s="107"/>
      <c r="F319" s="107"/>
      <c r="G319" s="107">
        <v>2022</v>
      </c>
      <c r="H319" s="108">
        <v>300000</v>
      </c>
      <c r="I319" s="108">
        <v>0</v>
      </c>
      <c r="J319" s="108">
        <f t="shared" si="154"/>
        <v>300000</v>
      </c>
      <c r="K319" s="108"/>
      <c r="L319" s="108">
        <f t="shared" si="155"/>
        <v>300000</v>
      </c>
      <c r="M319" s="108">
        <v>300000</v>
      </c>
      <c r="N319" s="108">
        <v>-250000</v>
      </c>
      <c r="O319" s="108"/>
      <c r="P319" s="108">
        <f t="shared" si="134"/>
        <v>50000</v>
      </c>
      <c r="Q319" s="108"/>
      <c r="R319" s="108">
        <f t="shared" si="135"/>
        <v>50000</v>
      </c>
      <c r="S319" s="108"/>
      <c r="T319" s="108"/>
      <c r="U319" s="108"/>
      <c r="V319" s="108"/>
      <c r="W319" s="108"/>
      <c r="X319" s="108"/>
      <c r="Y319" s="108"/>
      <c r="Z319" s="108"/>
      <c r="AA319" s="108"/>
      <c r="AB319" s="108"/>
      <c r="AC319" s="108"/>
      <c r="AD319" s="105" t="s">
        <v>487</v>
      </c>
      <c r="AE319" s="259"/>
      <c r="AF319" s="260"/>
      <c r="AG319" s="260"/>
      <c r="AH319" s="260"/>
      <c r="AI319" s="260"/>
      <c r="AJ319" s="258"/>
    </row>
    <row r="320" spans="2:36" s="1" customFormat="1" x14ac:dyDescent="0.25">
      <c r="B320" s="109" t="s">
        <v>241</v>
      </c>
      <c r="C320" s="104"/>
      <c r="D320" s="104" t="s">
        <v>91</v>
      </c>
      <c r="E320" s="104"/>
      <c r="F320" s="104"/>
      <c r="G320" s="104">
        <v>2022</v>
      </c>
      <c r="H320" s="105">
        <v>950000</v>
      </c>
      <c r="I320" s="105">
        <v>0</v>
      </c>
      <c r="J320" s="105">
        <f t="shared" si="154"/>
        <v>950000</v>
      </c>
      <c r="K320" s="105"/>
      <c r="L320" s="105">
        <f t="shared" si="155"/>
        <v>950000</v>
      </c>
      <c r="M320" s="105">
        <v>920000</v>
      </c>
      <c r="N320" s="105">
        <v>0</v>
      </c>
      <c r="O320" s="105">
        <v>43689</v>
      </c>
      <c r="P320" s="105">
        <f t="shared" si="134"/>
        <v>963689</v>
      </c>
      <c r="Q320" s="105"/>
      <c r="R320" s="105">
        <f t="shared" si="135"/>
        <v>963689</v>
      </c>
      <c r="S320" s="105"/>
      <c r="T320" s="105"/>
      <c r="U320" s="105"/>
      <c r="V320" s="105"/>
      <c r="W320" s="105"/>
      <c r="X320" s="105"/>
      <c r="Y320" s="105"/>
      <c r="Z320" s="105"/>
      <c r="AA320" s="105"/>
      <c r="AB320" s="105"/>
      <c r="AC320" s="105"/>
      <c r="AD320" s="105" t="s">
        <v>457</v>
      </c>
      <c r="AE320" s="259"/>
      <c r="AF320" s="260"/>
      <c r="AG320" s="260"/>
      <c r="AH320" s="260"/>
      <c r="AI320" s="260"/>
      <c r="AJ320" s="258"/>
    </row>
    <row r="321" spans="2:36" s="1" customFormat="1" x14ac:dyDescent="0.25">
      <c r="B321" s="109" t="s">
        <v>242</v>
      </c>
      <c r="C321" s="104"/>
      <c r="D321" s="104" t="s">
        <v>91</v>
      </c>
      <c r="E321" s="104"/>
      <c r="F321" s="104"/>
      <c r="G321" s="104">
        <v>2022</v>
      </c>
      <c r="H321" s="105">
        <v>315000</v>
      </c>
      <c r="I321" s="105">
        <v>0</v>
      </c>
      <c r="J321" s="105">
        <f t="shared" si="154"/>
        <v>315000</v>
      </c>
      <c r="K321" s="105"/>
      <c r="L321" s="105">
        <f t="shared" si="155"/>
        <v>315000</v>
      </c>
      <c r="M321" s="105">
        <v>267000</v>
      </c>
      <c r="N321" s="105">
        <v>0</v>
      </c>
      <c r="O321" s="105">
        <v>36154</v>
      </c>
      <c r="P321" s="105">
        <f t="shared" si="134"/>
        <v>303154</v>
      </c>
      <c r="Q321" s="105"/>
      <c r="R321" s="105">
        <f t="shared" si="135"/>
        <v>303154</v>
      </c>
      <c r="S321" s="105"/>
      <c r="T321" s="105"/>
      <c r="U321" s="105"/>
      <c r="V321" s="105"/>
      <c r="W321" s="105"/>
      <c r="X321" s="105"/>
      <c r="Y321" s="105"/>
      <c r="Z321" s="105"/>
      <c r="AA321" s="105"/>
      <c r="AB321" s="105"/>
      <c r="AC321" s="105"/>
      <c r="AD321" s="105" t="s">
        <v>457</v>
      </c>
      <c r="AE321" s="259"/>
      <c r="AF321" s="260"/>
      <c r="AG321" s="260"/>
      <c r="AH321" s="260"/>
      <c r="AI321" s="260"/>
      <c r="AJ321" s="258"/>
    </row>
    <row r="322" spans="2:36" s="1" customFormat="1" x14ac:dyDescent="0.25">
      <c r="B322" s="109" t="s">
        <v>243</v>
      </c>
      <c r="C322" s="104"/>
      <c r="D322" s="104" t="s">
        <v>91</v>
      </c>
      <c r="E322" s="104"/>
      <c r="F322" s="104"/>
      <c r="G322" s="104">
        <v>2022</v>
      </c>
      <c r="H322" s="105">
        <v>120000</v>
      </c>
      <c r="I322" s="105">
        <v>350000</v>
      </c>
      <c r="J322" s="105">
        <f t="shared" si="154"/>
        <v>470000</v>
      </c>
      <c r="K322" s="105"/>
      <c r="L322" s="105">
        <f t="shared" si="155"/>
        <v>470000</v>
      </c>
      <c r="M322" s="105">
        <v>94000</v>
      </c>
      <c r="N322" s="105">
        <v>350000</v>
      </c>
      <c r="O322" s="105">
        <v>20872</v>
      </c>
      <c r="P322" s="105">
        <f t="shared" si="134"/>
        <v>464872</v>
      </c>
      <c r="Q322" s="105"/>
      <c r="R322" s="105">
        <f t="shared" si="135"/>
        <v>464872</v>
      </c>
      <c r="S322" s="105"/>
      <c r="T322" s="105"/>
      <c r="U322" s="105"/>
      <c r="V322" s="105"/>
      <c r="W322" s="105"/>
      <c r="X322" s="105"/>
      <c r="Y322" s="105"/>
      <c r="Z322" s="105"/>
      <c r="AA322" s="105"/>
      <c r="AB322" s="105"/>
      <c r="AC322" s="105"/>
      <c r="AD322" s="105" t="s">
        <v>457</v>
      </c>
      <c r="AE322" s="259"/>
      <c r="AF322" s="260"/>
      <c r="AG322" s="260"/>
      <c r="AH322" s="260"/>
      <c r="AI322" s="260"/>
      <c r="AJ322" s="258"/>
    </row>
    <row r="323" spans="2:36" s="1" customFormat="1" x14ac:dyDescent="0.25">
      <c r="B323" s="109" t="s">
        <v>244</v>
      </c>
      <c r="C323" s="104"/>
      <c r="D323" s="104" t="s">
        <v>91</v>
      </c>
      <c r="E323" s="104"/>
      <c r="F323" s="104"/>
      <c r="G323" s="104">
        <v>2022</v>
      </c>
      <c r="H323" s="105">
        <v>280000</v>
      </c>
      <c r="I323" s="105">
        <v>200000</v>
      </c>
      <c r="J323" s="105">
        <f t="shared" si="154"/>
        <v>480000</v>
      </c>
      <c r="K323" s="105"/>
      <c r="L323" s="105">
        <f t="shared" si="155"/>
        <v>480000</v>
      </c>
      <c r="M323" s="105">
        <v>270000</v>
      </c>
      <c r="N323" s="105">
        <v>200000</v>
      </c>
      <c r="O323" s="105">
        <v>6390</v>
      </c>
      <c r="P323" s="105">
        <f t="shared" si="134"/>
        <v>476390</v>
      </c>
      <c r="Q323" s="105"/>
      <c r="R323" s="105">
        <f t="shared" si="135"/>
        <v>476390</v>
      </c>
      <c r="S323" s="105"/>
      <c r="T323" s="105"/>
      <c r="U323" s="105"/>
      <c r="V323" s="105"/>
      <c r="W323" s="105"/>
      <c r="X323" s="105"/>
      <c r="Y323" s="105"/>
      <c r="Z323" s="105"/>
      <c r="AA323" s="105"/>
      <c r="AB323" s="105"/>
      <c r="AC323" s="105"/>
      <c r="AD323" s="105" t="s">
        <v>457</v>
      </c>
      <c r="AE323" s="259"/>
      <c r="AF323" s="260"/>
      <c r="AG323" s="260"/>
      <c r="AH323" s="260"/>
      <c r="AI323" s="260"/>
      <c r="AJ323" s="258"/>
    </row>
    <row r="324" spans="2:36" s="1" customFormat="1" x14ac:dyDescent="0.25">
      <c r="B324" s="228" t="s">
        <v>559</v>
      </c>
      <c r="C324" s="229"/>
      <c r="D324" s="229" t="s">
        <v>91</v>
      </c>
      <c r="E324" s="104"/>
      <c r="F324" s="104"/>
      <c r="G324" s="104"/>
      <c r="H324" s="105"/>
      <c r="I324" s="105">
        <v>619000</v>
      </c>
      <c r="J324" s="105">
        <f t="shared" si="154"/>
        <v>619000</v>
      </c>
      <c r="K324" s="105"/>
      <c r="L324" s="105">
        <f t="shared" si="155"/>
        <v>619000</v>
      </c>
      <c r="M324" s="105"/>
      <c r="N324" s="105">
        <v>400000</v>
      </c>
      <c r="O324" s="105"/>
      <c r="P324" s="105">
        <f t="shared" si="134"/>
        <v>400000</v>
      </c>
      <c r="Q324" s="105"/>
      <c r="R324" s="105">
        <f t="shared" si="135"/>
        <v>400000</v>
      </c>
      <c r="S324" s="105"/>
      <c r="T324" s="105"/>
      <c r="U324" s="105"/>
      <c r="V324" s="105"/>
      <c r="W324" s="105"/>
      <c r="X324" s="105"/>
      <c r="Y324" s="105"/>
      <c r="Z324" s="105"/>
      <c r="AA324" s="105"/>
      <c r="AB324" s="105"/>
      <c r="AC324" s="105"/>
      <c r="AD324" s="105"/>
      <c r="AE324" s="259"/>
      <c r="AF324" s="260"/>
      <c r="AG324" s="260"/>
      <c r="AH324" s="260"/>
      <c r="AI324" s="260"/>
      <c r="AJ324" s="258"/>
    </row>
    <row r="325" spans="2:36" s="1" customFormat="1" x14ac:dyDescent="0.25">
      <c r="B325" s="109" t="s">
        <v>245</v>
      </c>
      <c r="C325" s="104"/>
      <c r="D325" s="104" t="s">
        <v>91</v>
      </c>
      <c r="E325" s="104"/>
      <c r="F325" s="104"/>
      <c r="G325" s="104">
        <v>2022</v>
      </c>
      <c r="H325" s="105">
        <v>500000</v>
      </c>
      <c r="I325" s="105">
        <v>0</v>
      </c>
      <c r="J325" s="105">
        <f t="shared" si="154"/>
        <v>500000</v>
      </c>
      <c r="K325" s="105"/>
      <c r="L325" s="105">
        <f t="shared" si="155"/>
        <v>500000</v>
      </c>
      <c r="M325" s="105">
        <v>313000</v>
      </c>
      <c r="N325" s="105">
        <v>0</v>
      </c>
      <c r="O325" s="105">
        <v>33702</v>
      </c>
      <c r="P325" s="105">
        <f t="shared" si="134"/>
        <v>346702</v>
      </c>
      <c r="Q325" s="105"/>
      <c r="R325" s="105">
        <f t="shared" si="135"/>
        <v>346702</v>
      </c>
      <c r="S325" s="105"/>
      <c r="T325" s="105"/>
      <c r="U325" s="105"/>
      <c r="V325" s="105"/>
      <c r="W325" s="105"/>
      <c r="X325" s="105"/>
      <c r="Y325" s="105"/>
      <c r="Z325" s="105"/>
      <c r="AA325" s="105"/>
      <c r="AB325" s="105"/>
      <c r="AC325" s="105"/>
      <c r="AD325" s="105" t="s">
        <v>457</v>
      </c>
      <c r="AE325" s="259"/>
      <c r="AF325" s="260"/>
      <c r="AG325" s="260"/>
      <c r="AH325" s="260"/>
      <c r="AI325" s="260"/>
      <c r="AJ325" s="258"/>
    </row>
    <row r="326" spans="2:36" s="1" customFormat="1" ht="30.6" x14ac:dyDescent="0.25">
      <c r="B326" s="109" t="s">
        <v>246</v>
      </c>
      <c r="C326" s="104"/>
      <c r="D326" s="104" t="s">
        <v>91</v>
      </c>
      <c r="E326" s="104"/>
      <c r="F326" s="104"/>
      <c r="G326" s="104">
        <v>2023</v>
      </c>
      <c r="H326" s="105">
        <v>740000</v>
      </c>
      <c r="I326" s="105">
        <v>0</v>
      </c>
      <c r="J326" s="105">
        <f t="shared" si="154"/>
        <v>740000</v>
      </c>
      <c r="K326" s="105"/>
      <c r="L326" s="105">
        <f t="shared" si="155"/>
        <v>740000</v>
      </c>
      <c r="M326" s="105">
        <v>720000</v>
      </c>
      <c r="N326" s="105">
        <v>0</v>
      </c>
      <c r="O326" s="105"/>
      <c r="P326" s="105">
        <f t="shared" ref="P326:P356" si="168">M326+N326+O326</f>
        <v>720000</v>
      </c>
      <c r="Q326" s="105"/>
      <c r="R326" s="105">
        <f t="shared" si="135"/>
        <v>720000</v>
      </c>
      <c r="S326" s="105"/>
      <c r="T326" s="105"/>
      <c r="U326" s="105"/>
      <c r="V326" s="105"/>
      <c r="W326" s="105"/>
      <c r="X326" s="105"/>
      <c r="Y326" s="105"/>
      <c r="Z326" s="105"/>
      <c r="AA326" s="105"/>
      <c r="AB326" s="105"/>
      <c r="AC326" s="105"/>
      <c r="AD326" s="105" t="s">
        <v>457</v>
      </c>
      <c r="AE326" s="259"/>
      <c r="AF326" s="260"/>
      <c r="AG326" s="260"/>
      <c r="AH326" s="260"/>
      <c r="AI326" s="260"/>
      <c r="AJ326" s="258"/>
    </row>
    <row r="327" spans="2:36" s="1" customFormat="1" ht="30.6" x14ac:dyDescent="0.25">
      <c r="B327" s="109" t="s">
        <v>247</v>
      </c>
      <c r="C327" s="104"/>
      <c r="D327" s="104" t="s">
        <v>91</v>
      </c>
      <c r="E327" s="104"/>
      <c r="F327" s="104"/>
      <c r="G327" s="104">
        <v>2022</v>
      </c>
      <c r="H327" s="105">
        <v>180000</v>
      </c>
      <c r="I327" s="105">
        <v>0</v>
      </c>
      <c r="J327" s="105">
        <f t="shared" si="154"/>
        <v>180000</v>
      </c>
      <c r="K327" s="105"/>
      <c r="L327" s="105">
        <f t="shared" si="155"/>
        <v>180000</v>
      </c>
      <c r="M327" s="105">
        <v>180000</v>
      </c>
      <c r="N327" s="105">
        <v>0</v>
      </c>
      <c r="O327" s="105"/>
      <c r="P327" s="105">
        <f t="shared" si="168"/>
        <v>180000</v>
      </c>
      <c r="Q327" s="105"/>
      <c r="R327" s="105">
        <f t="shared" ref="R327:R356" si="169">P327+Q327</f>
        <v>180000</v>
      </c>
      <c r="S327" s="105"/>
      <c r="T327" s="105"/>
      <c r="U327" s="105"/>
      <c r="V327" s="105"/>
      <c r="W327" s="105"/>
      <c r="X327" s="105"/>
      <c r="Y327" s="105"/>
      <c r="Z327" s="105"/>
      <c r="AA327" s="105"/>
      <c r="AB327" s="105"/>
      <c r="AC327" s="105"/>
      <c r="AD327" s="105" t="s">
        <v>487</v>
      </c>
      <c r="AE327" s="259"/>
      <c r="AF327" s="260"/>
      <c r="AG327" s="260"/>
      <c r="AH327" s="260"/>
      <c r="AI327" s="260"/>
      <c r="AJ327" s="258"/>
    </row>
    <row r="328" spans="2:36" s="1" customFormat="1" x14ac:dyDescent="0.25">
      <c r="B328" s="109" t="s">
        <v>248</v>
      </c>
      <c r="C328" s="104"/>
      <c r="D328" s="104" t="s">
        <v>249</v>
      </c>
      <c r="E328" s="104"/>
      <c r="F328" s="104"/>
      <c r="G328" s="104"/>
      <c r="H328" s="105">
        <v>48000</v>
      </c>
      <c r="I328" s="105">
        <v>0</v>
      </c>
      <c r="J328" s="105">
        <f t="shared" si="154"/>
        <v>48000</v>
      </c>
      <c r="K328" s="105"/>
      <c r="L328" s="105">
        <f t="shared" si="155"/>
        <v>48000</v>
      </c>
      <c r="M328" s="105">
        <v>48000</v>
      </c>
      <c r="N328" s="105">
        <v>0</v>
      </c>
      <c r="O328" s="105"/>
      <c r="P328" s="105">
        <f t="shared" si="168"/>
        <v>48000</v>
      </c>
      <c r="Q328" s="105"/>
      <c r="R328" s="105">
        <f t="shared" si="169"/>
        <v>48000</v>
      </c>
      <c r="S328" s="105"/>
      <c r="T328" s="105"/>
      <c r="U328" s="105"/>
      <c r="V328" s="105"/>
      <c r="W328" s="105"/>
      <c r="X328" s="105"/>
      <c r="Y328" s="105"/>
      <c r="Z328" s="105"/>
      <c r="AA328" s="105"/>
      <c r="AB328" s="105"/>
      <c r="AC328" s="105"/>
      <c r="AD328" s="105"/>
      <c r="AE328" s="259"/>
      <c r="AF328" s="260"/>
      <c r="AG328" s="260"/>
      <c r="AH328" s="260"/>
      <c r="AI328" s="260"/>
      <c r="AJ328" s="258"/>
    </row>
    <row r="329" spans="2:36" ht="26.4" x14ac:dyDescent="0.25">
      <c r="B329" s="31" t="s">
        <v>250</v>
      </c>
      <c r="C329" s="31" t="s">
        <v>0</v>
      </c>
      <c r="D329" s="31"/>
      <c r="E329" s="31"/>
      <c r="F329" s="31"/>
      <c r="G329" s="31"/>
      <c r="H329" s="32">
        <f>SUM(H330:H331)</f>
        <v>379590</v>
      </c>
      <c r="I329" s="32">
        <f>SUM(I330:I331)</f>
        <v>0</v>
      </c>
      <c r="J329" s="32">
        <f t="shared" si="154"/>
        <v>379590</v>
      </c>
      <c r="K329" s="32"/>
      <c r="L329" s="32">
        <f t="shared" si="155"/>
        <v>379590</v>
      </c>
      <c r="M329" s="32">
        <f>SUM(M330:M331)</f>
        <v>230000</v>
      </c>
      <c r="N329" s="32">
        <f t="shared" ref="N329:O329" si="170">SUM(N330:N331)</f>
        <v>0</v>
      </c>
      <c r="O329" s="32">
        <f t="shared" si="170"/>
        <v>16598</v>
      </c>
      <c r="P329" s="32">
        <f t="shared" si="168"/>
        <v>246598</v>
      </c>
      <c r="Q329" s="32"/>
      <c r="R329" s="32">
        <f t="shared" si="169"/>
        <v>246598</v>
      </c>
      <c r="S329" s="32"/>
      <c r="T329" s="32"/>
      <c r="U329" s="32"/>
      <c r="V329" s="32"/>
      <c r="W329" s="32"/>
      <c r="X329" s="32"/>
      <c r="Y329" s="32"/>
      <c r="Z329" s="32"/>
      <c r="AA329" s="32"/>
      <c r="AB329" s="32"/>
      <c r="AC329" s="32"/>
      <c r="AD329" s="36"/>
      <c r="AE329" s="259"/>
      <c r="AF329" s="257"/>
      <c r="AG329" s="257"/>
      <c r="AH329" s="257"/>
      <c r="AI329" s="257"/>
      <c r="AJ329" s="258"/>
    </row>
    <row r="330" spans="2:36" s="1" customFormat="1" ht="51" x14ac:dyDescent="0.25">
      <c r="B330" s="103" t="s">
        <v>560</v>
      </c>
      <c r="C330" s="104"/>
      <c r="D330" s="104" t="s">
        <v>91</v>
      </c>
      <c r="E330" s="104"/>
      <c r="F330" s="104"/>
      <c r="G330" s="104">
        <v>2022</v>
      </c>
      <c r="H330" s="105">
        <v>279590</v>
      </c>
      <c r="I330" s="105">
        <v>0</v>
      </c>
      <c r="J330" s="105">
        <f t="shared" si="154"/>
        <v>279590</v>
      </c>
      <c r="K330" s="105"/>
      <c r="L330" s="105">
        <f t="shared" si="155"/>
        <v>279590</v>
      </c>
      <c r="M330" s="105">
        <v>130000</v>
      </c>
      <c r="N330" s="105">
        <v>0</v>
      </c>
      <c r="O330" s="36">
        <v>16598</v>
      </c>
      <c r="P330" s="105">
        <f t="shared" si="168"/>
        <v>146598</v>
      </c>
      <c r="Q330" s="105"/>
      <c r="R330" s="105">
        <f t="shared" si="169"/>
        <v>146598</v>
      </c>
      <c r="S330" s="105"/>
      <c r="T330" s="105"/>
      <c r="U330" s="105"/>
      <c r="V330" s="105"/>
      <c r="W330" s="105"/>
      <c r="X330" s="105"/>
      <c r="Y330" s="105"/>
      <c r="Z330" s="105"/>
      <c r="AA330" s="105"/>
      <c r="AB330" s="105"/>
      <c r="AC330" s="105"/>
      <c r="AD330" s="105" t="s">
        <v>457</v>
      </c>
      <c r="AE330" s="259"/>
      <c r="AF330" s="260"/>
      <c r="AG330" s="260"/>
      <c r="AH330" s="260"/>
      <c r="AI330" s="260"/>
      <c r="AJ330" s="258"/>
    </row>
    <row r="331" spans="2:36" s="1" customFormat="1" x14ac:dyDescent="0.25">
      <c r="B331" s="103" t="s">
        <v>251</v>
      </c>
      <c r="C331" s="104"/>
      <c r="D331" s="104" t="s">
        <v>91</v>
      </c>
      <c r="E331" s="104"/>
      <c r="F331" s="104"/>
      <c r="G331" s="104">
        <v>2022</v>
      </c>
      <c r="H331" s="105">
        <v>100000</v>
      </c>
      <c r="I331" s="105">
        <v>0</v>
      </c>
      <c r="J331" s="105">
        <f t="shared" si="154"/>
        <v>100000</v>
      </c>
      <c r="K331" s="105"/>
      <c r="L331" s="105">
        <f t="shared" si="155"/>
        <v>100000</v>
      </c>
      <c r="M331" s="105">
        <v>100000</v>
      </c>
      <c r="N331" s="105">
        <v>0</v>
      </c>
      <c r="O331" s="105"/>
      <c r="P331" s="105">
        <f t="shared" si="168"/>
        <v>100000</v>
      </c>
      <c r="Q331" s="105"/>
      <c r="R331" s="105">
        <f t="shared" si="169"/>
        <v>100000</v>
      </c>
      <c r="S331" s="105"/>
      <c r="T331" s="105"/>
      <c r="U331" s="105"/>
      <c r="V331" s="105"/>
      <c r="W331" s="105"/>
      <c r="X331" s="105"/>
      <c r="Y331" s="105"/>
      <c r="Z331" s="105"/>
      <c r="AA331" s="105"/>
      <c r="AB331" s="105"/>
      <c r="AC331" s="105"/>
      <c r="AD331" s="105" t="s">
        <v>488</v>
      </c>
      <c r="AE331" s="259"/>
      <c r="AF331" s="260"/>
      <c r="AG331" s="260"/>
      <c r="AH331" s="260"/>
      <c r="AI331" s="260"/>
      <c r="AJ331" s="258"/>
    </row>
    <row r="332" spans="2:36" x14ac:dyDescent="0.25">
      <c r="B332" s="27" t="s">
        <v>252</v>
      </c>
      <c r="C332" s="27" t="s">
        <v>0</v>
      </c>
      <c r="D332" s="27"/>
      <c r="E332" s="27"/>
      <c r="F332" s="27"/>
      <c r="G332" s="27"/>
      <c r="H332" s="28">
        <f>SUM(H333:H339)</f>
        <v>4009750</v>
      </c>
      <c r="I332" s="28">
        <f>SUM(I333:I339)</f>
        <v>0</v>
      </c>
      <c r="J332" s="28">
        <f t="shared" si="154"/>
        <v>4009750</v>
      </c>
      <c r="K332" s="28"/>
      <c r="L332" s="28">
        <f t="shared" si="155"/>
        <v>4009750</v>
      </c>
      <c r="M332" s="28">
        <f>SUM(M333:M339)</f>
        <v>1265000</v>
      </c>
      <c r="N332" s="28">
        <v>0</v>
      </c>
      <c r="O332" s="28"/>
      <c r="P332" s="28">
        <f t="shared" si="168"/>
        <v>1265000</v>
      </c>
      <c r="Q332" s="28"/>
      <c r="R332" s="28">
        <f t="shared" si="169"/>
        <v>1265000</v>
      </c>
      <c r="S332" s="28">
        <f>SUM(S333:S339)</f>
        <v>1455000</v>
      </c>
      <c r="T332" s="28">
        <f t="shared" ref="T332:Z332" si="171">SUM(T333:T339)</f>
        <v>750000</v>
      </c>
      <c r="U332" s="28">
        <f t="shared" si="171"/>
        <v>439750</v>
      </c>
      <c r="V332" s="28">
        <f t="shared" si="171"/>
        <v>100000</v>
      </c>
      <c r="W332" s="28">
        <f t="shared" si="171"/>
        <v>160000</v>
      </c>
      <c r="X332" s="28">
        <f>SUM(X333:X339)</f>
        <v>3789750</v>
      </c>
      <c r="Y332" s="28">
        <f t="shared" si="171"/>
        <v>0</v>
      </c>
      <c r="Z332" s="28">
        <f t="shared" si="171"/>
        <v>0</v>
      </c>
      <c r="AA332" s="28"/>
      <c r="AB332" s="28"/>
      <c r="AC332" s="28"/>
      <c r="AD332" s="64"/>
      <c r="AE332" s="259"/>
      <c r="AF332" s="257"/>
      <c r="AG332" s="257"/>
      <c r="AH332" s="257"/>
      <c r="AI332" s="257"/>
      <c r="AJ332" s="258"/>
    </row>
    <row r="333" spans="2:36" s="1" customFormat="1" ht="20.399999999999999" x14ac:dyDescent="0.25">
      <c r="B333" s="65" t="s">
        <v>253</v>
      </c>
      <c r="C333" s="63"/>
      <c r="D333" s="63" t="s">
        <v>91</v>
      </c>
      <c r="E333" s="63"/>
      <c r="F333" s="63"/>
      <c r="G333" s="63"/>
      <c r="H333" s="64">
        <f>800000+150000</f>
        <v>950000</v>
      </c>
      <c r="I333" s="64">
        <v>0</v>
      </c>
      <c r="J333" s="64">
        <f t="shared" si="154"/>
        <v>950000</v>
      </c>
      <c r="K333" s="64"/>
      <c r="L333" s="64">
        <f t="shared" si="155"/>
        <v>950000</v>
      </c>
      <c r="M333" s="64">
        <v>400000</v>
      </c>
      <c r="N333" s="64">
        <v>0</v>
      </c>
      <c r="O333" s="64"/>
      <c r="P333" s="64">
        <f t="shared" si="168"/>
        <v>400000</v>
      </c>
      <c r="Q333" s="64"/>
      <c r="R333" s="64">
        <f t="shared" si="169"/>
        <v>400000</v>
      </c>
      <c r="S333" s="64">
        <v>350000</v>
      </c>
      <c r="T333" s="64">
        <v>200000</v>
      </c>
      <c r="U333" s="64"/>
      <c r="V333" s="64"/>
      <c r="W333" s="64"/>
      <c r="X333" s="64">
        <v>950000</v>
      </c>
      <c r="Y333" s="64"/>
      <c r="Z333" s="64"/>
      <c r="AA333" s="64"/>
      <c r="AB333" s="64" t="s">
        <v>489</v>
      </c>
      <c r="AC333" s="64"/>
      <c r="AD333" s="64" t="s">
        <v>480</v>
      </c>
      <c r="AE333" s="259"/>
      <c r="AF333" s="260"/>
      <c r="AG333" s="260"/>
      <c r="AH333" s="260"/>
      <c r="AI333" s="260"/>
      <c r="AJ333" s="258"/>
    </row>
    <row r="334" spans="2:36" s="1" customFormat="1" ht="20.399999999999999" x14ac:dyDescent="0.25">
      <c r="B334" s="65" t="s">
        <v>254</v>
      </c>
      <c r="C334" s="63"/>
      <c r="D334" s="63" t="s">
        <v>91</v>
      </c>
      <c r="E334" s="63"/>
      <c r="F334" s="63"/>
      <c r="G334" s="63"/>
      <c r="H334" s="64">
        <v>1689750</v>
      </c>
      <c r="I334" s="64">
        <v>0</v>
      </c>
      <c r="J334" s="64">
        <f t="shared" si="154"/>
        <v>1689750</v>
      </c>
      <c r="K334" s="64"/>
      <c r="L334" s="64">
        <f t="shared" si="155"/>
        <v>1689750</v>
      </c>
      <c r="M334" s="64">
        <v>450000</v>
      </c>
      <c r="N334" s="64">
        <v>0</v>
      </c>
      <c r="O334" s="64"/>
      <c r="P334" s="64">
        <f t="shared" si="168"/>
        <v>450000</v>
      </c>
      <c r="Q334" s="64"/>
      <c r="R334" s="64">
        <f t="shared" si="169"/>
        <v>450000</v>
      </c>
      <c r="S334" s="64">
        <v>450000</v>
      </c>
      <c r="T334" s="64">
        <v>450000</v>
      </c>
      <c r="U334" s="64">
        <v>339750</v>
      </c>
      <c r="V334" s="64"/>
      <c r="W334" s="64"/>
      <c r="X334" s="64">
        <v>1689750</v>
      </c>
      <c r="Y334" s="64"/>
      <c r="Z334" s="64"/>
      <c r="AA334" s="64"/>
      <c r="AB334" s="64" t="s">
        <v>479</v>
      </c>
      <c r="AC334" s="64"/>
      <c r="AD334" s="64" t="s">
        <v>490</v>
      </c>
      <c r="AE334" s="259"/>
      <c r="AF334" s="260"/>
      <c r="AG334" s="260"/>
      <c r="AH334" s="260"/>
      <c r="AI334" s="260"/>
      <c r="AJ334" s="258"/>
    </row>
    <row r="335" spans="2:36" s="1" customFormat="1" ht="20.399999999999999" x14ac:dyDescent="0.25">
      <c r="B335" s="65" t="s">
        <v>255</v>
      </c>
      <c r="C335" s="63"/>
      <c r="D335" s="63" t="s">
        <v>91</v>
      </c>
      <c r="E335" s="63"/>
      <c r="F335" s="63"/>
      <c r="G335" s="63"/>
      <c r="H335" s="64">
        <v>200000</v>
      </c>
      <c r="I335" s="64">
        <v>0</v>
      </c>
      <c r="J335" s="64">
        <f t="shared" si="154"/>
        <v>200000</v>
      </c>
      <c r="K335" s="64"/>
      <c r="L335" s="64">
        <f t="shared" si="155"/>
        <v>200000</v>
      </c>
      <c r="M335" s="64">
        <v>100000</v>
      </c>
      <c r="N335" s="64">
        <v>0</v>
      </c>
      <c r="O335" s="64"/>
      <c r="P335" s="64">
        <f t="shared" si="168"/>
        <v>100000</v>
      </c>
      <c r="Q335" s="64"/>
      <c r="R335" s="64">
        <f t="shared" si="169"/>
        <v>100000</v>
      </c>
      <c r="S335" s="64">
        <v>100000</v>
      </c>
      <c r="T335" s="64"/>
      <c r="U335" s="64"/>
      <c r="V335" s="64"/>
      <c r="W335" s="64">
        <v>40000</v>
      </c>
      <c r="X335" s="64">
        <v>160000</v>
      </c>
      <c r="Y335" s="64"/>
      <c r="Z335" s="64"/>
      <c r="AA335" s="64"/>
      <c r="AB335" s="64" t="s">
        <v>491</v>
      </c>
      <c r="AC335" s="64"/>
      <c r="AD335" s="64" t="s">
        <v>492</v>
      </c>
      <c r="AE335" s="259"/>
      <c r="AF335" s="260"/>
      <c r="AG335" s="260"/>
      <c r="AH335" s="260"/>
      <c r="AI335" s="260"/>
      <c r="AJ335" s="258"/>
    </row>
    <row r="336" spans="2:36" s="1" customFormat="1" ht="20.399999999999999" x14ac:dyDescent="0.25">
      <c r="B336" s="109" t="s">
        <v>256</v>
      </c>
      <c r="C336" s="104"/>
      <c r="D336" s="104" t="s">
        <v>91</v>
      </c>
      <c r="E336" s="104"/>
      <c r="F336" s="104"/>
      <c r="G336" s="104"/>
      <c r="H336" s="105">
        <v>35000</v>
      </c>
      <c r="I336" s="105">
        <v>0</v>
      </c>
      <c r="J336" s="105">
        <f t="shared" si="154"/>
        <v>35000</v>
      </c>
      <c r="K336" s="105"/>
      <c r="L336" s="105">
        <f t="shared" si="155"/>
        <v>35000</v>
      </c>
      <c r="M336" s="105">
        <v>35000</v>
      </c>
      <c r="N336" s="105">
        <v>0</v>
      </c>
      <c r="O336" s="105"/>
      <c r="P336" s="105">
        <f t="shared" si="168"/>
        <v>35000</v>
      </c>
      <c r="Q336" s="105"/>
      <c r="R336" s="105">
        <f t="shared" si="169"/>
        <v>35000</v>
      </c>
      <c r="S336" s="105"/>
      <c r="T336" s="105"/>
      <c r="U336" s="105"/>
      <c r="V336" s="105"/>
      <c r="W336" s="105"/>
      <c r="X336" s="105">
        <v>35000</v>
      </c>
      <c r="Y336" s="105"/>
      <c r="Z336" s="105"/>
      <c r="AA336" s="105"/>
      <c r="AB336" s="105">
        <v>2022</v>
      </c>
      <c r="AC336" s="105"/>
      <c r="AD336" s="105" t="s">
        <v>493</v>
      </c>
      <c r="AE336" s="259"/>
      <c r="AF336" s="260"/>
      <c r="AG336" s="260"/>
      <c r="AH336" s="260"/>
      <c r="AI336" s="260"/>
      <c r="AJ336" s="258"/>
    </row>
    <row r="337" spans="2:36" s="1" customFormat="1" x14ac:dyDescent="0.25">
      <c r="B337" s="65" t="s">
        <v>257</v>
      </c>
      <c r="C337" s="63"/>
      <c r="D337" s="63" t="s">
        <v>91</v>
      </c>
      <c r="E337" s="63"/>
      <c r="F337" s="63"/>
      <c r="G337" s="63"/>
      <c r="H337" s="64">
        <f>300000+200000</f>
        <v>500000</v>
      </c>
      <c r="I337" s="64">
        <v>0</v>
      </c>
      <c r="J337" s="64">
        <f t="shared" si="154"/>
        <v>500000</v>
      </c>
      <c r="K337" s="64"/>
      <c r="L337" s="64">
        <f t="shared" si="155"/>
        <v>500000</v>
      </c>
      <c r="M337" s="64">
        <v>100000</v>
      </c>
      <c r="N337" s="64">
        <v>0</v>
      </c>
      <c r="O337" s="64"/>
      <c r="P337" s="64">
        <f t="shared" si="168"/>
        <v>100000</v>
      </c>
      <c r="Q337" s="64"/>
      <c r="R337" s="64">
        <f t="shared" si="169"/>
        <v>100000</v>
      </c>
      <c r="S337" s="64">
        <v>100000</v>
      </c>
      <c r="T337" s="64">
        <v>100000</v>
      </c>
      <c r="U337" s="64">
        <v>100000</v>
      </c>
      <c r="V337" s="64">
        <v>100000</v>
      </c>
      <c r="W337" s="64"/>
      <c r="X337" s="64">
        <v>500000</v>
      </c>
      <c r="Y337" s="64"/>
      <c r="Z337" s="64"/>
      <c r="AA337" s="64"/>
      <c r="AB337" s="64">
        <v>2022</v>
      </c>
      <c r="AC337" s="64"/>
      <c r="AD337" s="64" t="s">
        <v>480</v>
      </c>
      <c r="AE337" s="259"/>
      <c r="AF337" s="260"/>
      <c r="AG337" s="260"/>
      <c r="AH337" s="260"/>
      <c r="AI337" s="260"/>
      <c r="AJ337" s="258"/>
    </row>
    <row r="338" spans="2:36" s="1" customFormat="1" x14ac:dyDescent="0.25">
      <c r="B338" s="34" t="s">
        <v>258</v>
      </c>
      <c r="C338" s="35"/>
      <c r="D338" s="35" t="s">
        <v>91</v>
      </c>
      <c r="E338" s="35"/>
      <c r="F338" s="35"/>
      <c r="G338" s="35"/>
      <c r="H338" s="36">
        <f>500000+75000</f>
        <v>575000</v>
      </c>
      <c r="I338" s="36">
        <v>0</v>
      </c>
      <c r="J338" s="36">
        <f t="shared" si="154"/>
        <v>575000</v>
      </c>
      <c r="K338" s="36"/>
      <c r="L338" s="36">
        <f t="shared" si="155"/>
        <v>575000</v>
      </c>
      <c r="M338" s="36">
        <f>500000-380000</f>
        <v>120000</v>
      </c>
      <c r="N338" s="36">
        <v>0</v>
      </c>
      <c r="O338" s="36"/>
      <c r="P338" s="36">
        <f t="shared" si="168"/>
        <v>120000</v>
      </c>
      <c r="Q338" s="36"/>
      <c r="R338" s="36">
        <f t="shared" si="169"/>
        <v>120000</v>
      </c>
      <c r="S338" s="36">
        <v>455000</v>
      </c>
      <c r="T338" s="36"/>
      <c r="U338" s="36"/>
      <c r="V338" s="36"/>
      <c r="W338" s="36">
        <v>120000</v>
      </c>
      <c r="X338" s="36">
        <v>455000</v>
      </c>
      <c r="Y338" s="36"/>
      <c r="Z338" s="36"/>
      <c r="AA338" s="36">
        <v>2022</v>
      </c>
      <c r="AB338" s="36">
        <v>2023</v>
      </c>
      <c r="AC338" s="36"/>
      <c r="AD338" s="36" t="s">
        <v>494</v>
      </c>
      <c r="AE338" s="259"/>
      <c r="AF338" s="260"/>
      <c r="AG338" s="260"/>
      <c r="AH338" s="260"/>
      <c r="AI338" s="260"/>
      <c r="AJ338" s="258"/>
    </row>
    <row r="339" spans="2:36" s="1" customFormat="1" ht="20.399999999999999" x14ac:dyDescent="0.25">
      <c r="B339" s="109" t="s">
        <v>259</v>
      </c>
      <c r="C339" s="104"/>
      <c r="D339" s="104" t="s">
        <v>91</v>
      </c>
      <c r="E339" s="104"/>
      <c r="F339" s="104"/>
      <c r="G339" s="104"/>
      <c r="H339" s="105">
        <v>60000</v>
      </c>
      <c r="I339" s="105">
        <v>0</v>
      </c>
      <c r="J339" s="105">
        <f t="shared" si="154"/>
        <v>60000</v>
      </c>
      <c r="K339" s="105"/>
      <c r="L339" s="105">
        <f t="shared" si="155"/>
        <v>60000</v>
      </c>
      <c r="M339" s="105">
        <v>60000</v>
      </c>
      <c r="N339" s="105">
        <v>0</v>
      </c>
      <c r="O339" s="105"/>
      <c r="P339" s="105">
        <f t="shared" si="168"/>
        <v>60000</v>
      </c>
      <c r="Q339" s="105"/>
      <c r="R339" s="105">
        <f t="shared" si="169"/>
        <v>60000</v>
      </c>
      <c r="S339" s="105"/>
      <c r="T339" s="105"/>
      <c r="U339" s="105"/>
      <c r="V339" s="105"/>
      <c r="W339" s="105"/>
      <c r="X339" s="105"/>
      <c r="Y339" s="105"/>
      <c r="Z339" s="105"/>
      <c r="AA339" s="105"/>
      <c r="AB339" s="105"/>
      <c r="AC339" s="105"/>
      <c r="AD339" s="105" t="s">
        <v>480</v>
      </c>
      <c r="AE339" s="259"/>
      <c r="AF339" s="260"/>
      <c r="AG339" s="260"/>
      <c r="AH339" s="260"/>
      <c r="AI339" s="260"/>
      <c r="AJ339" s="258"/>
    </row>
    <row r="340" spans="2:36" x14ac:dyDescent="0.25">
      <c r="B340" s="31" t="s">
        <v>260</v>
      </c>
      <c r="C340" s="31" t="s">
        <v>0</v>
      </c>
      <c r="D340" s="31" t="s">
        <v>91</v>
      </c>
      <c r="E340" s="31"/>
      <c r="F340" s="31"/>
      <c r="G340" s="31"/>
      <c r="H340" s="32">
        <v>3300000</v>
      </c>
      <c r="I340" s="32">
        <v>80000</v>
      </c>
      <c r="J340" s="32">
        <f t="shared" si="154"/>
        <v>3380000</v>
      </c>
      <c r="K340" s="32"/>
      <c r="L340" s="32">
        <f t="shared" si="155"/>
        <v>3380000</v>
      </c>
      <c r="M340" s="32">
        <v>500000</v>
      </c>
      <c r="N340" s="32">
        <v>80000</v>
      </c>
      <c r="O340" s="230">
        <v>144546</v>
      </c>
      <c r="P340" s="32">
        <f t="shared" si="168"/>
        <v>724546</v>
      </c>
      <c r="Q340" s="32"/>
      <c r="R340" s="32">
        <f t="shared" si="169"/>
        <v>724546</v>
      </c>
      <c r="S340" s="32">
        <v>500000</v>
      </c>
      <c r="T340" s="32">
        <v>500000</v>
      </c>
      <c r="U340" s="32">
        <v>500000</v>
      </c>
      <c r="V340" s="32">
        <v>500000</v>
      </c>
      <c r="W340" s="32"/>
      <c r="X340" s="32"/>
      <c r="Y340" s="32"/>
      <c r="Z340" s="32"/>
      <c r="AA340" s="32"/>
      <c r="AB340" s="32"/>
      <c r="AC340" s="32"/>
      <c r="AD340" s="36" t="s">
        <v>524</v>
      </c>
      <c r="AE340" s="259"/>
      <c r="AF340" s="257"/>
      <c r="AG340" s="257"/>
      <c r="AH340" s="257"/>
      <c r="AI340" s="257"/>
      <c r="AJ340" s="258"/>
    </row>
    <row r="341" spans="2:36" ht="40.799999999999997" x14ac:dyDescent="0.25">
      <c r="B341" s="31" t="s">
        <v>261</v>
      </c>
      <c r="C341" s="31" t="s">
        <v>0</v>
      </c>
      <c r="D341" s="31" t="s">
        <v>91</v>
      </c>
      <c r="E341" s="31" t="s">
        <v>340</v>
      </c>
      <c r="F341" s="31"/>
      <c r="G341" s="31">
        <v>2022</v>
      </c>
      <c r="H341" s="32">
        <v>830000</v>
      </c>
      <c r="I341" s="32">
        <v>0</v>
      </c>
      <c r="J341" s="32">
        <f t="shared" si="154"/>
        <v>830000</v>
      </c>
      <c r="K341" s="237">
        <v>250000</v>
      </c>
      <c r="L341" s="237">
        <f t="shared" si="155"/>
        <v>1080000</v>
      </c>
      <c r="M341" s="237">
        <v>800000</v>
      </c>
      <c r="N341" s="237">
        <v>0</v>
      </c>
      <c r="O341" s="237"/>
      <c r="P341" s="237">
        <f t="shared" si="168"/>
        <v>800000</v>
      </c>
      <c r="Q341" s="237"/>
      <c r="R341" s="237">
        <f t="shared" si="169"/>
        <v>800000</v>
      </c>
      <c r="S341" s="237">
        <v>250000</v>
      </c>
      <c r="T341" s="237"/>
      <c r="U341" s="237"/>
      <c r="V341" s="237"/>
      <c r="W341" s="237"/>
      <c r="X341" s="237"/>
      <c r="Y341" s="237"/>
      <c r="Z341" s="237"/>
      <c r="AA341" s="237">
        <v>2022</v>
      </c>
      <c r="AB341" s="237" t="s">
        <v>495</v>
      </c>
      <c r="AC341" s="237"/>
      <c r="AD341" s="238" t="s">
        <v>496</v>
      </c>
      <c r="AE341" s="259"/>
      <c r="AF341" s="257"/>
      <c r="AG341" s="257"/>
      <c r="AH341" s="257"/>
      <c r="AI341" s="257"/>
      <c r="AJ341" s="258"/>
    </row>
    <row r="342" spans="2:36" s="1" customFormat="1" ht="30.6" x14ac:dyDescent="0.25">
      <c r="B342" s="254" t="s">
        <v>262</v>
      </c>
      <c r="C342" s="255" t="s">
        <v>0</v>
      </c>
      <c r="D342" s="255" t="s">
        <v>37</v>
      </c>
      <c r="E342" s="255"/>
      <c r="F342" s="255"/>
      <c r="G342" s="255"/>
      <c r="H342" s="256">
        <v>85000</v>
      </c>
      <c r="I342" s="256">
        <v>0</v>
      </c>
      <c r="J342" s="256">
        <f t="shared" si="154"/>
        <v>85000</v>
      </c>
      <c r="K342" s="256">
        <v>3000</v>
      </c>
      <c r="L342" s="256">
        <f t="shared" si="155"/>
        <v>88000</v>
      </c>
      <c r="M342" s="256">
        <v>85000</v>
      </c>
      <c r="N342" s="256">
        <v>0</v>
      </c>
      <c r="O342" s="256"/>
      <c r="P342" s="256">
        <f t="shared" si="168"/>
        <v>85000</v>
      </c>
      <c r="Q342" s="256"/>
      <c r="R342" s="256">
        <f t="shared" si="169"/>
        <v>85000</v>
      </c>
      <c r="S342" s="256">
        <v>3000</v>
      </c>
      <c r="T342" s="256"/>
      <c r="U342" s="256"/>
      <c r="V342" s="256"/>
      <c r="W342" s="256"/>
      <c r="X342" s="256"/>
      <c r="Y342" s="256"/>
      <c r="Z342" s="256"/>
      <c r="AA342" s="256"/>
      <c r="AB342" s="256"/>
      <c r="AC342" s="256"/>
      <c r="AD342" s="251" t="s">
        <v>526</v>
      </c>
      <c r="AE342" s="259"/>
      <c r="AF342" s="260"/>
      <c r="AG342" s="260"/>
      <c r="AH342" s="260"/>
      <c r="AI342" s="260"/>
      <c r="AJ342" s="258"/>
    </row>
    <row r="343" spans="2:36" s="1" customFormat="1" x14ac:dyDescent="0.25">
      <c r="B343" s="111" t="s">
        <v>263</v>
      </c>
      <c r="C343" s="112" t="s">
        <v>0</v>
      </c>
      <c r="D343" s="112" t="s">
        <v>91</v>
      </c>
      <c r="E343" s="112"/>
      <c r="F343" s="112"/>
      <c r="G343" s="112">
        <v>2022</v>
      </c>
      <c r="H343" s="113">
        <v>3000</v>
      </c>
      <c r="I343" s="113">
        <v>0</v>
      </c>
      <c r="J343" s="113">
        <f t="shared" si="154"/>
        <v>3000</v>
      </c>
      <c r="K343" s="113"/>
      <c r="L343" s="113">
        <f t="shared" si="155"/>
        <v>3000</v>
      </c>
      <c r="M343" s="113">
        <v>3000</v>
      </c>
      <c r="N343" s="113">
        <v>0</v>
      </c>
      <c r="O343" s="113"/>
      <c r="P343" s="113">
        <f t="shared" si="168"/>
        <v>3000</v>
      </c>
      <c r="Q343" s="113"/>
      <c r="R343" s="113">
        <f t="shared" si="169"/>
        <v>3000</v>
      </c>
      <c r="S343" s="113"/>
      <c r="T343" s="113"/>
      <c r="U343" s="113"/>
      <c r="V343" s="113"/>
      <c r="W343" s="113"/>
      <c r="X343" s="113"/>
      <c r="Y343" s="113"/>
      <c r="Z343" s="113"/>
      <c r="AA343" s="113"/>
      <c r="AB343" s="113"/>
      <c r="AC343" s="113"/>
      <c r="AD343" s="105" t="s">
        <v>457</v>
      </c>
      <c r="AE343" s="259"/>
      <c r="AF343" s="260"/>
      <c r="AG343" s="260"/>
      <c r="AH343" s="260"/>
      <c r="AI343" s="260"/>
      <c r="AJ343" s="258"/>
    </row>
    <row r="344" spans="2:36" s="1" customFormat="1" ht="15.6" x14ac:dyDescent="0.25">
      <c r="B344" s="31" t="s">
        <v>588</v>
      </c>
      <c r="C344" s="31" t="s">
        <v>0</v>
      </c>
      <c r="D344" s="31" t="s">
        <v>91</v>
      </c>
      <c r="E344" s="31"/>
      <c r="F344" s="31"/>
      <c r="G344" s="31">
        <v>2022</v>
      </c>
      <c r="H344" s="32">
        <v>234531.00000000003</v>
      </c>
      <c r="I344" s="32">
        <v>70000</v>
      </c>
      <c r="J344" s="32">
        <f t="shared" si="154"/>
        <v>304531</v>
      </c>
      <c r="K344" s="32"/>
      <c r="L344" s="32">
        <f t="shared" si="155"/>
        <v>304531</v>
      </c>
      <c r="M344" s="32">
        <v>234531.00000000003</v>
      </c>
      <c r="N344" s="32">
        <v>70000</v>
      </c>
      <c r="O344" s="230">
        <v>93627</v>
      </c>
      <c r="P344" s="32">
        <f t="shared" si="168"/>
        <v>398158</v>
      </c>
      <c r="Q344" s="32"/>
      <c r="R344" s="32">
        <f t="shared" si="169"/>
        <v>398158</v>
      </c>
      <c r="S344" s="32"/>
      <c r="T344" s="32"/>
      <c r="U344" s="32"/>
      <c r="V344" s="32"/>
      <c r="W344" s="32"/>
      <c r="X344" s="32"/>
      <c r="Y344" s="32"/>
      <c r="Z344" s="32"/>
      <c r="AA344" s="32"/>
      <c r="AB344" s="32"/>
      <c r="AC344" s="32"/>
      <c r="AD344" s="36" t="s">
        <v>457</v>
      </c>
      <c r="AE344" s="259"/>
      <c r="AF344" s="260"/>
      <c r="AG344" s="260"/>
      <c r="AH344" s="260"/>
      <c r="AI344" s="260"/>
      <c r="AJ344" s="258"/>
    </row>
    <row r="345" spans="2:36" s="1" customFormat="1" ht="15.6" x14ac:dyDescent="0.25">
      <c r="B345" s="31" t="s">
        <v>589</v>
      </c>
      <c r="C345" s="31" t="s">
        <v>0</v>
      </c>
      <c r="D345" s="31" t="s">
        <v>91</v>
      </c>
      <c r="E345" s="31"/>
      <c r="F345" s="31"/>
      <c r="G345" s="31">
        <v>2022</v>
      </c>
      <c r="H345" s="32">
        <v>250000</v>
      </c>
      <c r="I345" s="32">
        <v>80000</v>
      </c>
      <c r="J345" s="32">
        <f t="shared" si="154"/>
        <v>330000</v>
      </c>
      <c r="K345" s="32"/>
      <c r="L345" s="32">
        <f t="shared" si="155"/>
        <v>330000</v>
      </c>
      <c r="M345" s="32">
        <v>90000</v>
      </c>
      <c r="N345" s="32">
        <v>80000</v>
      </c>
      <c r="O345" s="230">
        <v>11868</v>
      </c>
      <c r="P345" s="32">
        <f t="shared" si="168"/>
        <v>181868</v>
      </c>
      <c r="Q345" s="32"/>
      <c r="R345" s="32">
        <f t="shared" si="169"/>
        <v>181868</v>
      </c>
      <c r="S345" s="32"/>
      <c r="T345" s="32"/>
      <c r="U345" s="32"/>
      <c r="V345" s="32"/>
      <c r="W345" s="32"/>
      <c r="X345" s="32"/>
      <c r="Y345" s="32"/>
      <c r="Z345" s="32"/>
      <c r="AA345" s="32"/>
      <c r="AB345" s="32"/>
      <c r="AC345" s="32"/>
      <c r="AD345" s="36" t="s">
        <v>457</v>
      </c>
      <c r="AE345" s="259"/>
      <c r="AF345" s="260"/>
      <c r="AG345" s="260"/>
      <c r="AH345" s="260"/>
      <c r="AI345" s="260"/>
      <c r="AJ345" s="258"/>
    </row>
    <row r="346" spans="2:36" s="1" customFormat="1" x14ac:dyDescent="0.25">
      <c r="B346" s="111" t="s">
        <v>264</v>
      </c>
      <c r="C346" s="112" t="s">
        <v>0</v>
      </c>
      <c r="D346" s="112" t="s">
        <v>91</v>
      </c>
      <c r="E346" s="112"/>
      <c r="F346" s="112"/>
      <c r="G346" s="112"/>
      <c r="H346" s="113">
        <v>500000</v>
      </c>
      <c r="I346" s="113">
        <v>0</v>
      </c>
      <c r="J346" s="113">
        <f t="shared" si="154"/>
        <v>500000</v>
      </c>
      <c r="K346" s="113"/>
      <c r="L346" s="113">
        <f t="shared" si="155"/>
        <v>500000</v>
      </c>
      <c r="M346" s="113">
        <v>50000</v>
      </c>
      <c r="N346" s="113">
        <v>0</v>
      </c>
      <c r="O346" s="113"/>
      <c r="P346" s="113">
        <f t="shared" si="168"/>
        <v>50000</v>
      </c>
      <c r="Q346" s="113"/>
      <c r="R346" s="113">
        <f t="shared" si="169"/>
        <v>50000</v>
      </c>
      <c r="S346" s="113">
        <v>450000</v>
      </c>
      <c r="T346" s="113"/>
      <c r="U346" s="113"/>
      <c r="V346" s="113"/>
      <c r="W346" s="113"/>
      <c r="X346" s="113"/>
      <c r="Y346" s="113"/>
      <c r="Z346" s="113"/>
      <c r="AA346" s="113">
        <v>2022</v>
      </c>
      <c r="AB346" s="113">
        <v>2023</v>
      </c>
      <c r="AC346" s="113"/>
      <c r="AD346" s="105" t="s">
        <v>497</v>
      </c>
      <c r="AE346" s="259"/>
      <c r="AF346" s="260"/>
      <c r="AG346" s="260"/>
      <c r="AH346" s="260"/>
      <c r="AI346" s="260"/>
      <c r="AJ346" s="258"/>
    </row>
    <row r="347" spans="2:36" x14ac:dyDescent="0.25">
      <c r="B347" s="68" t="s">
        <v>265</v>
      </c>
      <c r="C347" s="69" t="s">
        <v>3</v>
      </c>
      <c r="D347" s="69"/>
      <c r="E347" s="69"/>
      <c r="F347" s="69"/>
      <c r="G347" s="69"/>
      <c r="H347" s="70">
        <f>SUM(H348:H349)</f>
        <v>10890000</v>
      </c>
      <c r="I347" s="70">
        <f>SUM(I348:I349)</f>
        <v>0</v>
      </c>
      <c r="J347" s="70">
        <f t="shared" si="154"/>
        <v>10890000</v>
      </c>
      <c r="K347" s="70"/>
      <c r="L347" s="70">
        <f t="shared" si="155"/>
        <v>10890000</v>
      </c>
      <c r="M347" s="70">
        <f>SUM(M348:M349)</f>
        <v>2835000</v>
      </c>
      <c r="N347" s="70">
        <f>SUM(N348:N349)</f>
        <v>18960</v>
      </c>
      <c r="O347" s="70">
        <f>SUM(O348:O349)</f>
        <v>266930</v>
      </c>
      <c r="P347" s="70">
        <f t="shared" si="168"/>
        <v>3120890</v>
      </c>
      <c r="Q347" s="70"/>
      <c r="R347" s="70">
        <f t="shared" si="169"/>
        <v>3120890</v>
      </c>
      <c r="S347" s="70">
        <f>SUM(S348:S349)</f>
        <v>3740000</v>
      </c>
      <c r="T347" s="70">
        <f t="shared" ref="T347:Z347" si="172">SUM(T348:T349)</f>
        <v>3750000</v>
      </c>
      <c r="U347" s="70">
        <f t="shared" si="172"/>
        <v>250000</v>
      </c>
      <c r="V347" s="70">
        <f t="shared" si="172"/>
        <v>0</v>
      </c>
      <c r="W347" s="70">
        <f t="shared" si="172"/>
        <v>310000</v>
      </c>
      <c r="X347" s="70">
        <f t="shared" si="172"/>
        <v>8255000</v>
      </c>
      <c r="Y347" s="70">
        <f t="shared" si="172"/>
        <v>1000000</v>
      </c>
      <c r="Z347" s="70">
        <f t="shared" si="172"/>
        <v>0</v>
      </c>
      <c r="AA347" s="70"/>
      <c r="AB347" s="70"/>
      <c r="AC347" s="70"/>
      <c r="AD347" s="105"/>
      <c r="AE347" s="259"/>
      <c r="AF347" s="257"/>
      <c r="AG347" s="257"/>
      <c r="AH347" s="257"/>
      <c r="AI347" s="257"/>
      <c r="AJ347" s="258"/>
    </row>
    <row r="348" spans="2:36" ht="20.399999999999999" x14ac:dyDescent="0.25">
      <c r="B348" s="65" t="s">
        <v>266</v>
      </c>
      <c r="C348" s="63" t="s">
        <v>0</v>
      </c>
      <c r="D348" s="63" t="s">
        <v>36</v>
      </c>
      <c r="E348" s="63"/>
      <c r="F348" s="63"/>
      <c r="G348" s="63"/>
      <c r="H348" s="64">
        <v>9690000</v>
      </c>
      <c r="I348" s="64">
        <v>0</v>
      </c>
      <c r="J348" s="64">
        <f t="shared" si="154"/>
        <v>9690000</v>
      </c>
      <c r="K348" s="64"/>
      <c r="L348" s="64">
        <f t="shared" si="155"/>
        <v>9690000</v>
      </c>
      <c r="M348" s="64">
        <v>2615000</v>
      </c>
      <c r="N348" s="64">
        <v>0</v>
      </c>
      <c r="O348" s="36">
        <v>85000</v>
      </c>
      <c r="P348" s="64">
        <f t="shared" si="168"/>
        <v>2700000</v>
      </c>
      <c r="Q348" s="64"/>
      <c r="R348" s="64">
        <f t="shared" si="169"/>
        <v>2700000</v>
      </c>
      <c r="S348" s="64">
        <v>3490000</v>
      </c>
      <c r="T348" s="64">
        <v>3500000</v>
      </c>
      <c r="U348" s="64"/>
      <c r="V348" s="64"/>
      <c r="W348" s="64">
        <v>310000</v>
      </c>
      <c r="X348" s="64">
        <v>8255000</v>
      </c>
      <c r="Y348" s="64">
        <v>1000000</v>
      </c>
      <c r="Z348" s="64"/>
      <c r="AA348" s="64"/>
      <c r="AB348" s="64"/>
      <c r="AC348" s="64"/>
      <c r="AD348" s="64"/>
      <c r="AE348" s="259"/>
      <c r="AF348" s="257"/>
      <c r="AG348" s="257"/>
      <c r="AH348" s="257"/>
      <c r="AI348" s="257"/>
      <c r="AJ348" s="258"/>
    </row>
    <row r="349" spans="2:36" ht="40.799999999999997" x14ac:dyDescent="0.25">
      <c r="B349" s="65" t="s">
        <v>210</v>
      </c>
      <c r="C349" s="63" t="s">
        <v>0</v>
      </c>
      <c r="D349" s="63" t="s">
        <v>36</v>
      </c>
      <c r="E349" s="63"/>
      <c r="F349" s="63"/>
      <c r="G349" s="63"/>
      <c r="H349" s="64">
        <f>450000+750000</f>
        <v>1200000</v>
      </c>
      <c r="I349" s="64">
        <v>0</v>
      </c>
      <c r="J349" s="64">
        <f t="shared" si="154"/>
        <v>1200000</v>
      </c>
      <c r="K349" s="64"/>
      <c r="L349" s="64">
        <f>J349+K349</f>
        <v>1200000</v>
      </c>
      <c r="M349" s="64">
        <v>220000</v>
      </c>
      <c r="N349" s="64">
        <v>18960</v>
      </c>
      <c r="O349" s="36">
        <v>181930</v>
      </c>
      <c r="P349" s="64">
        <f t="shared" si="168"/>
        <v>420890</v>
      </c>
      <c r="Q349" s="64"/>
      <c r="R349" s="64">
        <f t="shared" si="169"/>
        <v>420890</v>
      </c>
      <c r="S349" s="64">
        <v>250000</v>
      </c>
      <c r="T349" s="64">
        <v>250000</v>
      </c>
      <c r="U349" s="64">
        <v>250000</v>
      </c>
      <c r="V349" s="64"/>
      <c r="W349" s="64"/>
      <c r="X349" s="64"/>
      <c r="Y349" s="64"/>
      <c r="Z349" s="64"/>
      <c r="AA349" s="64"/>
      <c r="AB349" s="64"/>
      <c r="AC349" s="64"/>
      <c r="AD349" s="64" t="s">
        <v>498</v>
      </c>
      <c r="AE349" s="259"/>
      <c r="AF349" s="257"/>
      <c r="AG349" s="257"/>
      <c r="AH349" s="257"/>
      <c r="AI349" s="257"/>
      <c r="AJ349" s="258"/>
    </row>
    <row r="350" spans="2:36" x14ac:dyDescent="0.25">
      <c r="B350" s="68" t="s">
        <v>561</v>
      </c>
      <c r="C350" s="31" t="s">
        <v>0</v>
      </c>
      <c r="D350" s="31" t="s">
        <v>312</v>
      </c>
      <c r="E350" s="63"/>
      <c r="F350" s="63"/>
      <c r="G350" s="63"/>
      <c r="H350" s="64"/>
      <c r="I350" s="70">
        <v>15000</v>
      </c>
      <c r="J350" s="70">
        <f t="shared" si="154"/>
        <v>15000</v>
      </c>
      <c r="K350" s="70"/>
      <c r="L350" s="70">
        <f t="shared" si="155"/>
        <v>15000</v>
      </c>
      <c r="M350" s="64"/>
      <c r="N350" s="64">
        <v>15000</v>
      </c>
      <c r="O350" s="64"/>
      <c r="P350" s="64">
        <f t="shared" si="168"/>
        <v>15000</v>
      </c>
      <c r="Q350" s="64"/>
      <c r="R350" s="64">
        <f t="shared" si="169"/>
        <v>15000</v>
      </c>
      <c r="S350" s="64"/>
      <c r="T350" s="64"/>
      <c r="U350" s="64"/>
      <c r="V350" s="64"/>
      <c r="W350" s="64"/>
      <c r="X350" s="64"/>
      <c r="Y350" s="64"/>
      <c r="Z350" s="64"/>
      <c r="AA350" s="64"/>
      <c r="AB350" s="64"/>
      <c r="AC350" s="64"/>
      <c r="AD350" s="64"/>
      <c r="AE350" s="259"/>
      <c r="AF350" s="257"/>
      <c r="AG350" s="257"/>
      <c r="AH350" s="257"/>
      <c r="AI350" s="257"/>
      <c r="AJ350" s="258"/>
    </row>
    <row r="351" spans="2:36" ht="26.4" x14ac:dyDescent="0.25">
      <c r="B351" s="68" t="s">
        <v>562</v>
      </c>
      <c r="C351" s="31" t="s">
        <v>0</v>
      </c>
      <c r="D351" s="31" t="s">
        <v>249</v>
      </c>
      <c r="E351" s="63"/>
      <c r="F351" s="63"/>
      <c r="G351" s="63"/>
      <c r="H351" s="64"/>
      <c r="I351" s="70">
        <v>51600</v>
      </c>
      <c r="J351" s="70">
        <f t="shared" si="154"/>
        <v>51600</v>
      </c>
      <c r="K351" s="70"/>
      <c r="L351" s="70">
        <f t="shared" si="155"/>
        <v>51600</v>
      </c>
      <c r="M351" s="64"/>
      <c r="N351" s="64">
        <v>51600</v>
      </c>
      <c r="O351" s="64"/>
      <c r="P351" s="64">
        <f t="shared" si="168"/>
        <v>51600</v>
      </c>
      <c r="Q351" s="64"/>
      <c r="R351" s="64">
        <f t="shared" si="169"/>
        <v>51600</v>
      </c>
      <c r="S351" s="64"/>
      <c r="T351" s="64"/>
      <c r="U351" s="64"/>
      <c r="V351" s="64"/>
      <c r="W351" s="64"/>
      <c r="X351" s="64"/>
      <c r="Y351" s="64"/>
      <c r="Z351" s="64"/>
      <c r="AA351" s="64"/>
      <c r="AB351" s="64"/>
      <c r="AC351" s="64"/>
      <c r="AD351" s="64"/>
      <c r="AE351" s="259"/>
      <c r="AF351" s="257"/>
      <c r="AG351" s="257"/>
      <c r="AH351" s="257"/>
      <c r="AI351" s="257"/>
      <c r="AJ351" s="258"/>
    </row>
    <row r="352" spans="2:36" x14ac:dyDescent="0.25">
      <c r="B352" s="45" t="s">
        <v>267</v>
      </c>
      <c r="C352" s="45" t="s">
        <v>3</v>
      </c>
      <c r="D352" s="45"/>
      <c r="E352" s="45"/>
      <c r="F352" s="45"/>
      <c r="G352" s="45"/>
      <c r="H352" s="46">
        <f>H353+H356</f>
        <v>120000</v>
      </c>
      <c r="I352" s="46">
        <f>I353+I356</f>
        <v>59800</v>
      </c>
      <c r="J352" s="46">
        <f t="shared" si="154"/>
        <v>179800</v>
      </c>
      <c r="K352" s="46"/>
      <c r="L352" s="46">
        <f t="shared" si="155"/>
        <v>179800</v>
      </c>
      <c r="M352" s="46">
        <f>M356</f>
        <v>120000</v>
      </c>
      <c r="N352" s="46">
        <f>N353+N356</f>
        <v>59800</v>
      </c>
      <c r="O352" s="46"/>
      <c r="P352" s="46">
        <f t="shared" si="168"/>
        <v>179800</v>
      </c>
      <c r="Q352" s="46"/>
      <c r="R352" s="46">
        <f t="shared" si="169"/>
        <v>179800</v>
      </c>
      <c r="S352" s="46">
        <f t="shared" ref="S352:Z352" si="173">S353+S356</f>
        <v>0</v>
      </c>
      <c r="T352" s="46">
        <f t="shared" si="173"/>
        <v>0</v>
      </c>
      <c r="U352" s="46">
        <f t="shared" si="173"/>
        <v>0</v>
      </c>
      <c r="V352" s="46">
        <f t="shared" si="173"/>
        <v>0</v>
      </c>
      <c r="W352" s="46">
        <f t="shared" si="173"/>
        <v>0</v>
      </c>
      <c r="X352" s="46">
        <f t="shared" si="173"/>
        <v>0</v>
      </c>
      <c r="Y352" s="46">
        <f t="shared" si="173"/>
        <v>0</v>
      </c>
      <c r="Z352" s="46">
        <f t="shared" si="173"/>
        <v>0</v>
      </c>
      <c r="AA352" s="46"/>
      <c r="AB352" s="46"/>
      <c r="AC352" s="46"/>
      <c r="AD352" s="147"/>
      <c r="AE352" s="259"/>
      <c r="AF352" s="257"/>
      <c r="AG352" s="257"/>
      <c r="AH352" s="257"/>
      <c r="AI352" s="257"/>
      <c r="AJ352" s="258"/>
    </row>
    <row r="353" spans="2:36" ht="26.4" x14ac:dyDescent="0.25">
      <c r="B353" s="68" t="s">
        <v>563</v>
      </c>
      <c r="C353" s="69" t="s">
        <v>3</v>
      </c>
      <c r="D353" s="69" t="s">
        <v>91</v>
      </c>
      <c r="E353" s="69"/>
      <c r="F353" s="69"/>
      <c r="G353" s="69"/>
      <c r="H353" s="70"/>
      <c r="I353" s="70">
        <v>59800</v>
      </c>
      <c r="J353" s="70">
        <f t="shared" si="154"/>
        <v>59800</v>
      </c>
      <c r="K353" s="70"/>
      <c r="L353" s="70">
        <f t="shared" si="155"/>
        <v>59800</v>
      </c>
      <c r="M353" s="70"/>
      <c r="N353" s="70">
        <v>59800</v>
      </c>
      <c r="O353" s="70"/>
      <c r="P353" s="70">
        <f t="shared" si="168"/>
        <v>59800</v>
      </c>
      <c r="Q353" s="70"/>
      <c r="R353" s="70">
        <f t="shared" si="169"/>
        <v>59800</v>
      </c>
      <c r="S353" s="70"/>
      <c r="T353" s="70"/>
      <c r="U353" s="70"/>
      <c r="V353" s="70"/>
      <c r="W353" s="70"/>
      <c r="X353" s="70"/>
      <c r="Y353" s="70"/>
      <c r="Z353" s="70"/>
      <c r="AA353" s="70"/>
      <c r="AB353" s="70"/>
      <c r="AC353" s="70"/>
      <c r="AD353" s="105"/>
      <c r="AE353" s="259"/>
      <c r="AF353" s="257"/>
      <c r="AG353" s="257"/>
      <c r="AH353" s="257"/>
      <c r="AI353" s="257"/>
      <c r="AJ353" s="258"/>
    </row>
    <row r="354" spans="2:36" x14ac:dyDescent="0.25">
      <c r="B354" s="68"/>
      <c r="C354" s="69" t="s">
        <v>0</v>
      </c>
      <c r="D354" s="69"/>
      <c r="E354" s="69"/>
      <c r="F354" s="69"/>
      <c r="G354" s="69"/>
      <c r="H354" s="70"/>
      <c r="I354" s="70">
        <v>23920</v>
      </c>
      <c r="J354" s="70">
        <f t="shared" si="154"/>
        <v>23920</v>
      </c>
      <c r="K354" s="70"/>
      <c r="L354" s="70">
        <f t="shared" si="155"/>
        <v>23920</v>
      </c>
      <c r="M354" s="70"/>
      <c r="N354" s="70">
        <v>23920</v>
      </c>
      <c r="O354" s="70"/>
      <c r="P354" s="70">
        <f t="shared" si="168"/>
        <v>23920</v>
      </c>
      <c r="Q354" s="70"/>
      <c r="R354" s="70">
        <f t="shared" si="169"/>
        <v>23920</v>
      </c>
      <c r="S354" s="70"/>
      <c r="T354" s="70"/>
      <c r="U354" s="70"/>
      <c r="V354" s="70"/>
      <c r="W354" s="70"/>
      <c r="X354" s="70"/>
      <c r="Y354" s="70"/>
      <c r="Z354" s="70"/>
      <c r="AA354" s="70"/>
      <c r="AB354" s="70"/>
      <c r="AC354" s="70"/>
      <c r="AD354" s="105"/>
      <c r="AE354" s="259"/>
      <c r="AF354" s="257"/>
      <c r="AG354" s="257"/>
      <c r="AH354" s="257"/>
      <c r="AI354" s="257"/>
      <c r="AJ354" s="258"/>
    </row>
    <row r="355" spans="2:36" x14ac:dyDescent="0.25">
      <c r="B355" s="68"/>
      <c r="C355" s="69" t="s">
        <v>33</v>
      </c>
      <c r="D355" s="69"/>
      <c r="E355" s="69"/>
      <c r="F355" s="69"/>
      <c r="G355" s="69"/>
      <c r="H355" s="70"/>
      <c r="I355" s="70">
        <v>35880</v>
      </c>
      <c r="J355" s="70">
        <f t="shared" si="154"/>
        <v>35880</v>
      </c>
      <c r="K355" s="70"/>
      <c r="L355" s="70">
        <f t="shared" si="155"/>
        <v>35880</v>
      </c>
      <c r="M355" s="70"/>
      <c r="N355" s="70">
        <v>35880</v>
      </c>
      <c r="O355" s="70"/>
      <c r="P355" s="70">
        <f t="shared" si="168"/>
        <v>35880</v>
      </c>
      <c r="Q355" s="70"/>
      <c r="R355" s="70">
        <f t="shared" si="169"/>
        <v>35880</v>
      </c>
      <c r="S355" s="70"/>
      <c r="T355" s="70"/>
      <c r="U355" s="70"/>
      <c r="V355" s="70"/>
      <c r="W355" s="70"/>
      <c r="X355" s="70"/>
      <c r="Y355" s="70"/>
      <c r="Z355" s="70"/>
      <c r="AA355" s="70"/>
      <c r="AB355" s="70"/>
      <c r="AC355" s="70"/>
      <c r="AD355" s="105"/>
      <c r="AE355" s="259"/>
      <c r="AF355" s="257"/>
      <c r="AG355" s="257"/>
      <c r="AH355" s="257"/>
      <c r="AI355" s="257"/>
      <c r="AJ355" s="258"/>
    </row>
    <row r="356" spans="2:36" x14ac:dyDescent="0.25">
      <c r="B356" s="68" t="s">
        <v>7</v>
      </c>
      <c r="C356" s="69" t="s">
        <v>33</v>
      </c>
      <c r="D356" s="69" t="s">
        <v>36</v>
      </c>
      <c r="E356" s="69"/>
      <c r="F356" s="69"/>
      <c r="G356" s="69"/>
      <c r="H356" s="70">
        <v>120000</v>
      </c>
      <c r="I356" s="70">
        <v>0</v>
      </c>
      <c r="J356" s="70">
        <f t="shared" si="154"/>
        <v>120000</v>
      </c>
      <c r="K356" s="70"/>
      <c r="L356" s="70">
        <f t="shared" si="155"/>
        <v>120000</v>
      </c>
      <c r="M356" s="70">
        <v>120000</v>
      </c>
      <c r="N356" s="70">
        <v>0</v>
      </c>
      <c r="O356" s="70"/>
      <c r="P356" s="70">
        <f t="shared" si="168"/>
        <v>120000</v>
      </c>
      <c r="Q356" s="70"/>
      <c r="R356" s="70">
        <f t="shared" si="169"/>
        <v>120000</v>
      </c>
      <c r="S356" s="70"/>
      <c r="T356" s="70"/>
      <c r="U356" s="70"/>
      <c r="V356" s="70"/>
      <c r="W356" s="70"/>
      <c r="X356" s="70"/>
      <c r="Y356" s="70"/>
      <c r="Z356" s="70"/>
      <c r="AA356" s="70"/>
      <c r="AB356" s="70"/>
      <c r="AC356" s="70"/>
      <c r="AD356" s="105"/>
      <c r="AE356" s="259"/>
      <c r="AF356" s="257"/>
      <c r="AG356" s="257"/>
      <c r="AH356" s="257"/>
      <c r="AI356" s="257"/>
      <c r="AJ356" s="258"/>
    </row>
    <row r="357" spans="2:36" x14ac:dyDescent="0.25">
      <c r="B357" s="114"/>
      <c r="C357" s="115"/>
      <c r="D357" s="23"/>
      <c r="E357" s="23"/>
      <c r="F357" s="23"/>
      <c r="G357" s="23"/>
      <c r="H357" s="116"/>
      <c r="I357" s="116"/>
      <c r="J357" s="116"/>
      <c r="K357" s="116"/>
      <c r="L357" s="116"/>
      <c r="M357" s="117"/>
      <c r="N357" s="117"/>
      <c r="O357" s="117"/>
      <c r="P357" s="117"/>
      <c r="Q357" s="117"/>
      <c r="R357" s="117"/>
      <c r="S357" s="117"/>
      <c r="T357" s="117"/>
      <c r="U357" s="117"/>
      <c r="V357" s="117"/>
      <c r="W357" s="117"/>
      <c r="X357" s="117"/>
      <c r="Y357" s="117"/>
      <c r="Z357" s="117"/>
      <c r="AA357" s="117"/>
      <c r="AB357" s="117"/>
      <c r="AC357" s="117"/>
      <c r="AD357" s="272"/>
    </row>
    <row r="358" spans="2:36" ht="13.8" x14ac:dyDescent="0.25">
      <c r="B358" s="118" t="s">
        <v>575</v>
      </c>
      <c r="C358" s="119"/>
      <c r="D358" s="119"/>
      <c r="E358" s="119"/>
      <c r="F358" s="119"/>
      <c r="G358" s="119"/>
      <c r="H358" s="117"/>
      <c r="I358" s="117"/>
      <c r="J358" s="117"/>
      <c r="K358" s="117"/>
      <c r="L358" s="117"/>
    </row>
    <row r="359" spans="2:36" ht="13.8" x14ac:dyDescent="0.25">
      <c r="B359" s="120" t="s">
        <v>269</v>
      </c>
      <c r="C359" s="119"/>
      <c r="D359" s="119"/>
      <c r="E359" s="119"/>
      <c r="F359" s="119"/>
      <c r="G359" s="119"/>
      <c r="H359" s="117"/>
      <c r="I359" s="117"/>
      <c r="J359" s="117"/>
      <c r="K359" s="117"/>
      <c r="L359" s="117"/>
    </row>
    <row r="360" spans="2:36" x14ac:dyDescent="0.25">
      <c r="B360" s="120" t="s">
        <v>270</v>
      </c>
      <c r="C360" s="121"/>
      <c r="D360" s="121"/>
      <c r="E360" s="121"/>
      <c r="F360" s="121"/>
      <c r="G360" s="121"/>
      <c r="H360" s="122"/>
      <c r="I360" s="122"/>
      <c r="J360" s="122"/>
      <c r="K360" s="122"/>
      <c r="L360" s="122"/>
    </row>
    <row r="361" spans="2:36" x14ac:dyDescent="0.25">
      <c r="B361" s="118" t="s">
        <v>271</v>
      </c>
      <c r="C361" s="121"/>
      <c r="D361" s="121"/>
      <c r="E361" s="121"/>
      <c r="F361" s="121"/>
      <c r="G361" s="121"/>
      <c r="H361" s="122"/>
      <c r="I361" s="122"/>
      <c r="J361" s="122"/>
      <c r="K361" s="122"/>
      <c r="L361" s="122"/>
    </row>
    <row r="362" spans="2:36" x14ac:dyDescent="0.25">
      <c r="B362" s="118" t="s">
        <v>272</v>
      </c>
      <c r="C362" s="121"/>
      <c r="D362" s="121"/>
      <c r="E362" s="121"/>
      <c r="F362" s="121"/>
      <c r="G362" s="121"/>
      <c r="H362" s="122"/>
      <c r="I362" s="122"/>
      <c r="J362" s="122"/>
      <c r="K362" s="122"/>
      <c r="L362" s="122"/>
    </row>
    <row r="363" spans="2:36" x14ac:dyDescent="0.25">
      <c r="B363" s="118" t="s">
        <v>577</v>
      </c>
      <c r="H363" s="23"/>
      <c r="I363" s="23"/>
      <c r="J363" s="23"/>
      <c r="K363" s="23"/>
      <c r="L363" s="23"/>
      <c r="M363" s="23"/>
      <c r="N363" s="23"/>
      <c r="O363" s="23"/>
      <c r="P363" s="23"/>
      <c r="Q363" s="23"/>
      <c r="R363" s="23"/>
      <c r="S363" s="23"/>
      <c r="T363" s="23"/>
      <c r="U363" s="23"/>
      <c r="V363" s="23"/>
      <c r="W363" s="23"/>
      <c r="X363" s="23"/>
      <c r="Y363" s="23"/>
      <c r="Z363" s="23"/>
      <c r="AA363" s="23"/>
      <c r="AB363" s="23"/>
      <c r="AC363" s="23"/>
      <c r="AD363" s="273"/>
    </row>
    <row r="364" spans="2:36" x14ac:dyDescent="0.25">
      <c r="B364" s="120" t="s">
        <v>273</v>
      </c>
      <c r="H364" s="23"/>
      <c r="I364" s="23"/>
      <c r="J364" s="23"/>
      <c r="K364" s="23"/>
      <c r="L364" s="23"/>
      <c r="M364" s="23"/>
      <c r="N364" s="23"/>
      <c r="O364" s="23"/>
      <c r="P364" s="23"/>
      <c r="Q364" s="23"/>
      <c r="R364" s="23"/>
      <c r="S364" s="23"/>
      <c r="T364" s="23"/>
      <c r="U364" s="23"/>
      <c r="V364" s="23"/>
      <c r="W364" s="23"/>
      <c r="X364" s="23"/>
      <c r="Y364" s="23"/>
      <c r="Z364" s="23"/>
      <c r="AA364" s="23"/>
      <c r="AB364" s="23"/>
      <c r="AC364" s="23"/>
      <c r="AD364" s="273"/>
    </row>
    <row r="365" spans="2:36" x14ac:dyDescent="0.25">
      <c r="B365" s="118" t="s">
        <v>274</v>
      </c>
      <c r="H365" s="23"/>
      <c r="I365" s="23"/>
      <c r="J365" s="23"/>
      <c r="K365" s="23"/>
      <c r="L365" s="23"/>
      <c r="M365" s="23"/>
      <c r="N365" s="23"/>
      <c r="O365" s="23"/>
      <c r="P365" s="23"/>
      <c r="Q365" s="23"/>
      <c r="R365" s="23"/>
      <c r="S365" s="23"/>
      <c r="T365" s="23"/>
      <c r="U365" s="23"/>
      <c r="V365" s="23"/>
      <c r="W365" s="23"/>
      <c r="X365" s="23"/>
      <c r="Y365" s="23"/>
      <c r="Z365" s="23"/>
      <c r="AA365" s="23"/>
      <c r="AB365" s="23"/>
      <c r="AC365" s="23"/>
      <c r="AD365" s="273"/>
    </row>
    <row r="366" spans="2:36" x14ac:dyDescent="0.25">
      <c r="B366" s="120" t="s">
        <v>275</v>
      </c>
      <c r="H366" s="23"/>
      <c r="I366" s="23"/>
      <c r="J366" s="23"/>
      <c r="K366" s="23"/>
      <c r="L366" s="23"/>
      <c r="M366" s="23"/>
      <c r="N366" s="23"/>
      <c r="O366" s="23"/>
      <c r="P366" s="23"/>
      <c r="Q366" s="23"/>
      <c r="R366" s="23"/>
      <c r="S366" s="23"/>
      <c r="T366" s="23"/>
      <c r="U366" s="23"/>
      <c r="V366" s="23"/>
      <c r="W366" s="23"/>
      <c r="X366" s="23"/>
      <c r="Y366" s="23"/>
      <c r="Z366" s="23"/>
      <c r="AA366" s="23"/>
      <c r="AB366" s="23"/>
      <c r="AC366" s="23"/>
      <c r="AD366" s="273"/>
    </row>
    <row r="367" spans="2:36" x14ac:dyDescent="0.25">
      <c r="B367" s="118" t="s">
        <v>276</v>
      </c>
      <c r="H367" s="23"/>
      <c r="I367" s="23"/>
      <c r="J367" s="23"/>
      <c r="K367" s="23"/>
      <c r="L367" s="23"/>
      <c r="M367" s="23"/>
      <c r="N367" s="23"/>
      <c r="O367" s="23"/>
      <c r="P367" s="23"/>
      <c r="Q367" s="23"/>
      <c r="R367" s="23"/>
      <c r="S367" s="23"/>
      <c r="T367" s="23"/>
      <c r="U367" s="23"/>
      <c r="V367" s="23"/>
      <c r="W367" s="23"/>
      <c r="X367" s="23"/>
      <c r="Y367" s="23"/>
      <c r="Z367" s="23"/>
      <c r="AA367" s="23"/>
      <c r="AB367" s="23"/>
      <c r="AC367" s="23"/>
      <c r="AD367" s="273"/>
    </row>
    <row r="368" spans="2:36" x14ac:dyDescent="0.25">
      <c r="B368" s="120" t="s">
        <v>277</v>
      </c>
      <c r="H368" s="23"/>
      <c r="I368" s="23"/>
      <c r="J368" s="23"/>
      <c r="K368" s="23"/>
      <c r="L368" s="23"/>
      <c r="M368" s="23"/>
      <c r="N368" s="23"/>
      <c r="O368" s="23"/>
      <c r="P368" s="23"/>
      <c r="Q368" s="23"/>
      <c r="R368" s="23"/>
      <c r="S368" s="23"/>
      <c r="T368" s="23"/>
      <c r="U368" s="23"/>
      <c r="V368" s="23"/>
      <c r="W368" s="23"/>
      <c r="X368" s="23"/>
      <c r="Y368" s="23"/>
      <c r="Z368" s="23"/>
      <c r="AA368" s="23"/>
      <c r="AB368" s="23"/>
      <c r="AC368" s="23"/>
      <c r="AD368" s="273"/>
    </row>
    <row r="369" spans="2:30" x14ac:dyDescent="0.25">
      <c r="B369" s="118" t="s">
        <v>278</v>
      </c>
      <c r="H369" s="23"/>
      <c r="I369" s="23"/>
      <c r="J369" s="23"/>
      <c r="K369" s="23"/>
      <c r="L369" s="23"/>
      <c r="M369" s="23"/>
      <c r="N369" s="23"/>
      <c r="O369" s="23"/>
      <c r="P369" s="23"/>
      <c r="Q369" s="23"/>
      <c r="R369" s="23"/>
      <c r="S369" s="23"/>
      <c r="T369" s="23"/>
      <c r="U369" s="23"/>
      <c r="V369" s="23"/>
      <c r="W369" s="23"/>
      <c r="X369" s="23"/>
      <c r="Y369" s="23"/>
      <c r="Z369" s="23"/>
      <c r="AA369" s="23"/>
      <c r="AB369" s="23"/>
      <c r="AC369" s="23"/>
      <c r="AD369" s="273"/>
    </row>
    <row r="370" spans="2:30" x14ac:dyDescent="0.25">
      <c r="B370" s="118" t="s">
        <v>279</v>
      </c>
      <c r="H370" s="23"/>
      <c r="I370" s="23"/>
      <c r="J370" s="23"/>
      <c r="K370" s="23"/>
      <c r="L370" s="23"/>
      <c r="M370" s="23"/>
      <c r="N370" s="23"/>
      <c r="O370" s="23"/>
      <c r="P370" s="23"/>
      <c r="Q370" s="23"/>
      <c r="R370" s="23"/>
      <c r="S370" s="23"/>
      <c r="T370" s="23"/>
      <c r="U370" s="23"/>
      <c r="V370" s="23"/>
      <c r="W370" s="23"/>
      <c r="X370" s="23"/>
      <c r="Y370" s="23"/>
      <c r="Z370" s="23"/>
      <c r="AA370" s="23"/>
      <c r="AB370" s="23"/>
      <c r="AC370" s="23"/>
      <c r="AD370" s="273"/>
    </row>
    <row r="371" spans="2:30" x14ac:dyDescent="0.25">
      <c r="B371" s="120" t="s">
        <v>280</v>
      </c>
      <c r="H371" s="23"/>
      <c r="I371" s="23"/>
      <c r="J371" s="23"/>
      <c r="K371" s="23"/>
      <c r="L371" s="23"/>
      <c r="M371" s="23"/>
      <c r="N371" s="23"/>
      <c r="O371" s="23"/>
      <c r="P371" s="23"/>
      <c r="Q371" s="23"/>
      <c r="R371" s="23"/>
      <c r="S371" s="23"/>
      <c r="T371" s="23"/>
      <c r="U371" s="23"/>
      <c r="V371" s="23"/>
      <c r="W371" s="23"/>
      <c r="X371" s="23"/>
      <c r="Y371" s="23"/>
      <c r="Z371" s="23"/>
      <c r="AA371" s="23"/>
      <c r="AB371" s="23"/>
      <c r="AC371" s="23"/>
      <c r="AD371" s="273"/>
    </row>
    <row r="372" spans="2:30" x14ac:dyDescent="0.25">
      <c r="B372" s="120" t="s">
        <v>281</v>
      </c>
      <c r="H372" s="23"/>
      <c r="I372" s="23"/>
      <c r="J372" s="23"/>
      <c r="K372" s="23"/>
      <c r="L372" s="23"/>
      <c r="M372" s="23"/>
      <c r="N372" s="23"/>
      <c r="O372" s="23"/>
      <c r="P372" s="23"/>
      <c r="Q372" s="23"/>
      <c r="R372" s="23"/>
      <c r="S372" s="23"/>
      <c r="T372" s="23"/>
      <c r="U372" s="23"/>
      <c r="V372" s="23"/>
      <c r="W372" s="23"/>
      <c r="X372" s="23"/>
      <c r="Y372" s="23"/>
      <c r="Z372" s="23"/>
      <c r="AA372" s="23"/>
      <c r="AB372" s="23"/>
      <c r="AC372" s="23"/>
      <c r="AD372" s="273"/>
    </row>
    <row r="373" spans="2:30" x14ac:dyDescent="0.25">
      <c r="B373" s="120" t="s">
        <v>282</v>
      </c>
      <c r="H373" s="23"/>
      <c r="I373" s="23"/>
      <c r="J373" s="23"/>
      <c r="K373" s="23"/>
      <c r="L373" s="23"/>
      <c r="M373" s="23"/>
      <c r="N373" s="23"/>
      <c r="O373" s="23"/>
      <c r="P373" s="23"/>
      <c r="Q373" s="23"/>
      <c r="R373" s="23"/>
      <c r="S373" s="23"/>
      <c r="T373" s="23"/>
      <c r="U373" s="23"/>
      <c r="V373" s="23"/>
      <c r="W373" s="23"/>
      <c r="X373" s="23"/>
      <c r="Y373" s="23"/>
      <c r="Z373" s="23"/>
      <c r="AA373" s="23"/>
      <c r="AB373" s="23"/>
      <c r="AC373" s="23"/>
      <c r="AD373" s="273"/>
    </row>
    <row r="374" spans="2:30" x14ac:dyDescent="0.25">
      <c r="B374" s="118" t="s">
        <v>580</v>
      </c>
      <c r="H374" s="23"/>
      <c r="I374" s="23"/>
      <c r="J374" s="23"/>
      <c r="K374" s="23"/>
      <c r="L374" s="23"/>
      <c r="M374" s="23"/>
      <c r="N374" s="23"/>
      <c r="O374" s="23"/>
      <c r="P374" s="23"/>
      <c r="Q374" s="23"/>
      <c r="R374" s="23"/>
      <c r="S374" s="23"/>
      <c r="T374" s="23"/>
      <c r="U374" s="23"/>
      <c r="V374" s="23"/>
      <c r="W374" s="23"/>
      <c r="X374" s="23"/>
      <c r="Y374" s="23"/>
      <c r="Z374" s="23"/>
      <c r="AA374" s="23"/>
      <c r="AB374" s="23"/>
      <c r="AC374" s="23"/>
      <c r="AD374" s="273"/>
    </row>
    <row r="375" spans="2:30" ht="24.6" x14ac:dyDescent="0.25">
      <c r="B375" s="118" t="s">
        <v>590</v>
      </c>
      <c r="H375" s="23"/>
      <c r="I375" s="23"/>
      <c r="J375" s="23"/>
      <c r="K375" s="23"/>
      <c r="L375" s="23"/>
      <c r="M375" s="23"/>
      <c r="N375" s="23"/>
      <c r="O375" s="23"/>
      <c r="P375" s="23"/>
      <c r="Q375" s="23"/>
      <c r="R375" s="23"/>
      <c r="S375" s="23"/>
      <c r="T375" s="23"/>
      <c r="U375" s="23"/>
      <c r="V375" s="23"/>
      <c r="W375" s="23"/>
      <c r="X375" s="23"/>
      <c r="Y375" s="23"/>
      <c r="Z375" s="23"/>
      <c r="AA375" s="23"/>
      <c r="AB375" s="23"/>
      <c r="AC375" s="23"/>
      <c r="AD375" s="273"/>
    </row>
    <row r="376" spans="2:30" ht="47.4" x14ac:dyDescent="0.25">
      <c r="B376" s="118" t="s">
        <v>592</v>
      </c>
      <c r="H376" s="23"/>
      <c r="I376" s="23"/>
      <c r="J376" s="23"/>
      <c r="K376" s="23"/>
      <c r="L376" s="23"/>
      <c r="M376" s="23"/>
      <c r="N376" s="23"/>
      <c r="O376" s="23"/>
      <c r="P376" s="23"/>
      <c r="Q376" s="23"/>
      <c r="R376" s="23"/>
      <c r="S376" s="23"/>
      <c r="T376" s="23"/>
      <c r="U376" s="23"/>
      <c r="V376" s="23"/>
      <c r="W376" s="23"/>
      <c r="X376" s="23"/>
      <c r="Y376" s="23"/>
      <c r="Z376" s="23"/>
      <c r="AA376" s="23"/>
      <c r="AB376" s="23"/>
      <c r="AC376" s="23"/>
      <c r="AD376" s="273"/>
    </row>
    <row r="377" spans="2:30" x14ac:dyDescent="0.25">
      <c r="B377" s="118" t="s">
        <v>591</v>
      </c>
      <c r="H377" s="23"/>
      <c r="I377" s="23"/>
      <c r="J377" s="23"/>
      <c r="K377" s="23"/>
      <c r="L377" s="23"/>
      <c r="M377" s="23"/>
      <c r="N377" s="23"/>
      <c r="O377" s="23"/>
      <c r="P377" s="23"/>
      <c r="Q377" s="23"/>
      <c r="R377" s="23"/>
      <c r="S377" s="23"/>
      <c r="T377" s="23"/>
      <c r="U377" s="23"/>
      <c r="V377" s="23"/>
      <c r="W377" s="23"/>
      <c r="X377" s="23"/>
      <c r="Y377" s="23"/>
      <c r="Z377" s="23"/>
      <c r="AA377" s="23"/>
      <c r="AB377" s="23"/>
      <c r="AC377" s="23"/>
      <c r="AD377" s="273"/>
    </row>
    <row r="378" spans="2:30" x14ac:dyDescent="0.25">
      <c r="B378" s="118"/>
      <c r="C378" s="5"/>
      <c r="D378" s="5"/>
      <c r="E378" s="5"/>
      <c r="F378" s="5"/>
      <c r="G378" s="5"/>
      <c r="H378" s="23"/>
      <c r="I378" s="23"/>
      <c r="J378" s="23"/>
      <c r="K378" s="23"/>
      <c r="L378" s="23"/>
      <c r="M378" s="23"/>
      <c r="N378" s="23"/>
      <c r="O378" s="23"/>
      <c r="P378" s="23"/>
      <c r="Q378" s="23"/>
      <c r="R378" s="23"/>
      <c r="S378" s="23"/>
      <c r="T378" s="23"/>
      <c r="U378" s="23"/>
      <c r="V378" s="23"/>
      <c r="W378" s="23"/>
      <c r="X378" s="23"/>
      <c r="Y378" s="23"/>
      <c r="Z378" s="23"/>
      <c r="AA378" s="23"/>
      <c r="AB378" s="23"/>
      <c r="AC378" s="23"/>
      <c r="AD378" s="273"/>
    </row>
    <row r="379" spans="2:30" x14ac:dyDescent="0.25">
      <c r="B379" s="204"/>
      <c r="C379" s="5"/>
      <c r="D379" s="5"/>
      <c r="E379" s="5"/>
      <c r="F379" s="5"/>
      <c r="G379" s="5"/>
      <c r="H379" s="23"/>
      <c r="I379" s="23"/>
      <c r="J379" s="23"/>
      <c r="K379" s="23"/>
      <c r="L379" s="23"/>
      <c r="M379" s="23"/>
      <c r="N379" s="23"/>
      <c r="O379" s="23"/>
      <c r="P379" s="23"/>
      <c r="Q379" s="23"/>
      <c r="R379" s="23"/>
      <c r="S379" s="23"/>
      <c r="T379" s="23"/>
      <c r="U379" s="23"/>
      <c r="V379" s="23"/>
      <c r="W379" s="23"/>
      <c r="X379" s="23"/>
      <c r="Y379" s="23"/>
      <c r="Z379" s="23"/>
      <c r="AA379" s="23"/>
      <c r="AB379" s="23"/>
      <c r="AC379" s="23"/>
      <c r="AD379" s="273"/>
    </row>
    <row r="380" spans="2:30" x14ac:dyDescent="0.25">
      <c r="B380" s="204"/>
      <c r="C380" s="5"/>
      <c r="D380" s="5"/>
      <c r="E380" s="5"/>
      <c r="F380" s="5"/>
      <c r="G380" s="5"/>
      <c r="H380" s="23"/>
      <c r="I380" s="23"/>
      <c r="J380" s="23"/>
      <c r="K380" s="23"/>
      <c r="L380" s="23"/>
      <c r="M380" s="23"/>
      <c r="N380" s="23"/>
      <c r="O380" s="23"/>
      <c r="P380" s="23"/>
      <c r="Q380" s="23"/>
      <c r="R380" s="23"/>
      <c r="S380" s="23"/>
      <c r="T380" s="23"/>
      <c r="U380" s="23"/>
      <c r="V380" s="23"/>
      <c r="W380" s="23"/>
      <c r="X380" s="23"/>
      <c r="Y380" s="23"/>
      <c r="Z380" s="23"/>
      <c r="AA380" s="23"/>
      <c r="AB380" s="23"/>
      <c r="AC380" s="23"/>
      <c r="AD380" s="273"/>
    </row>
    <row r="381" spans="2:30" x14ac:dyDescent="0.25">
      <c r="B381" s="205"/>
      <c r="C381" s="5"/>
      <c r="D381" s="5"/>
      <c r="E381" s="5"/>
      <c r="F381" s="5"/>
      <c r="G381" s="5"/>
      <c r="H381" s="23"/>
      <c r="I381" s="23"/>
      <c r="J381" s="23"/>
      <c r="K381" s="23"/>
      <c r="L381" s="23"/>
      <c r="M381" s="23"/>
      <c r="N381" s="23"/>
      <c r="O381" s="23"/>
      <c r="P381" s="23"/>
      <c r="Q381" s="23"/>
      <c r="R381" s="23"/>
      <c r="S381" s="23"/>
      <c r="T381" s="23"/>
      <c r="U381" s="23"/>
      <c r="V381" s="23"/>
      <c r="W381" s="23"/>
      <c r="X381" s="23"/>
      <c r="Y381" s="23"/>
      <c r="Z381" s="23"/>
      <c r="AA381" s="23"/>
      <c r="AB381" s="23"/>
      <c r="AC381" s="23"/>
      <c r="AD381" s="273"/>
    </row>
    <row r="382" spans="2:30" x14ac:dyDescent="0.25">
      <c r="B382" s="1"/>
      <c r="C382" s="5"/>
      <c r="D382" s="5"/>
      <c r="E382" s="5"/>
      <c r="F382" s="5"/>
      <c r="G382" s="5"/>
      <c r="H382" s="23"/>
      <c r="I382" s="23"/>
      <c r="J382" s="23"/>
      <c r="K382" s="23"/>
      <c r="L382" s="23"/>
      <c r="M382" s="23"/>
      <c r="N382" s="23"/>
      <c r="O382" s="23"/>
      <c r="P382" s="23"/>
      <c r="Q382" s="23"/>
      <c r="R382" s="23"/>
      <c r="S382" s="23"/>
      <c r="T382" s="23"/>
      <c r="U382" s="23"/>
      <c r="V382" s="23"/>
      <c r="W382" s="23"/>
      <c r="X382" s="23"/>
      <c r="Y382" s="23"/>
      <c r="Z382" s="23"/>
      <c r="AA382" s="23"/>
      <c r="AB382" s="23"/>
      <c r="AC382" s="23"/>
      <c r="AD382" s="273"/>
    </row>
    <row r="383" spans="2:30" x14ac:dyDescent="0.25">
      <c r="B383" s="1"/>
      <c r="C383" s="5"/>
      <c r="D383" s="5"/>
      <c r="E383" s="5"/>
      <c r="F383" s="5"/>
      <c r="G383" s="5"/>
      <c r="H383" s="23"/>
      <c r="I383" s="23"/>
      <c r="J383" s="23"/>
      <c r="K383" s="23"/>
      <c r="L383" s="23"/>
      <c r="M383" s="23"/>
      <c r="N383" s="23"/>
      <c r="O383" s="23"/>
      <c r="P383" s="23"/>
      <c r="Q383" s="23"/>
      <c r="R383" s="23"/>
      <c r="S383" s="23"/>
      <c r="T383" s="23"/>
      <c r="U383" s="23"/>
      <c r="V383" s="23"/>
      <c r="W383" s="23"/>
      <c r="X383" s="23"/>
      <c r="Y383" s="23"/>
      <c r="Z383" s="23"/>
      <c r="AA383" s="23"/>
      <c r="AB383" s="23"/>
      <c r="AC383" s="23"/>
      <c r="AD383" s="273"/>
    </row>
    <row r="384" spans="2:30" x14ac:dyDescent="0.25">
      <c r="B384" s="1"/>
      <c r="C384" s="5"/>
      <c r="D384" s="5"/>
      <c r="E384" s="5"/>
      <c r="F384" s="5"/>
      <c r="G384" s="5"/>
      <c r="H384" s="23"/>
      <c r="I384" s="23"/>
      <c r="J384" s="23"/>
      <c r="K384" s="23"/>
      <c r="L384" s="23"/>
      <c r="M384" s="23"/>
      <c r="N384" s="23"/>
      <c r="O384" s="23"/>
      <c r="P384" s="23"/>
      <c r="Q384" s="23"/>
      <c r="R384" s="23"/>
      <c r="S384" s="23"/>
      <c r="T384" s="23"/>
      <c r="U384" s="23"/>
      <c r="V384" s="23"/>
      <c r="W384" s="23"/>
      <c r="X384" s="23"/>
      <c r="Y384" s="23"/>
      <c r="Z384" s="23"/>
      <c r="AA384" s="23"/>
      <c r="AB384" s="23"/>
      <c r="AC384" s="23"/>
      <c r="AD384" s="273"/>
    </row>
    <row r="385" spans="8:12" x14ac:dyDescent="0.25">
      <c r="H385" s="23"/>
      <c r="I385" s="23"/>
      <c r="J385" s="23"/>
      <c r="K385" s="23"/>
      <c r="L385" s="23"/>
    </row>
  </sheetData>
  <autoFilter ref="B5:AD356" xr:uid="{22459EE0-343F-4A9B-94DB-C5195EED2FBD}"/>
  <mergeCells count="2">
    <mergeCell ref="W4:Z4"/>
    <mergeCell ref="AA4:AC4"/>
  </mergeCells>
  <pageMargins left="1.1811023622047245" right="0.47244094488188981" top="0.98425196850393704" bottom="0.98425196850393704" header="0.31496062992125984" footer="0.31496062992125984"/>
  <pageSetup paperSize="9" orientation="portrait" r:id="rId1"/>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AF3B0-9433-41B2-A407-EF43E301C3E7}">
  <dimension ref="A1:AA75"/>
  <sheetViews>
    <sheetView showZeros="0" zoomScaleNormal="100" workbookViewId="0">
      <pane xSplit="3" ySplit="5" topLeftCell="D6" activePane="bottomRight" state="frozen"/>
      <selection activeCell="B1" sqref="B1"/>
      <selection pane="topRight" activeCell="C1" sqref="C1"/>
      <selection pane="bottomLeft" activeCell="B9" sqref="B9"/>
      <selection pane="bottomRight" activeCell="C1" sqref="C1"/>
    </sheetView>
  </sheetViews>
  <sheetFormatPr defaultColWidth="9.44140625" defaultRowHeight="13.2" x14ac:dyDescent="0.25"/>
  <cols>
    <col min="1" max="1" width="10" style="3" hidden="1" customWidth="1"/>
    <col min="2" max="2" width="8.6640625" style="3" customWidth="1"/>
    <col min="3" max="3" width="41.44140625" style="23" customWidth="1"/>
    <col min="4" max="4" width="6.6640625" style="3" customWidth="1"/>
    <col min="5" max="8" width="8.6640625" style="3" customWidth="1"/>
    <col min="9" max="9" width="13.5546875" style="3" customWidth="1"/>
    <col min="10" max="10" width="12.44140625" style="3" bestFit="1" customWidth="1"/>
    <col min="11" max="13" width="11.33203125" style="3" bestFit="1" customWidth="1"/>
    <col min="14" max="20" width="11.33203125" style="3" customWidth="1"/>
    <col min="21" max="21" width="25.6640625" style="148" customWidth="1"/>
    <col min="22" max="22" width="15.33203125" style="3" customWidth="1"/>
    <col min="23" max="16384" width="9.44140625" style="3"/>
  </cols>
  <sheetData>
    <row r="1" spans="1:27" ht="15.6" x14ac:dyDescent="0.3">
      <c r="B1" s="6"/>
      <c r="C1" s="4"/>
      <c r="D1" s="5"/>
      <c r="E1" s="6"/>
      <c r="F1" s="6"/>
      <c r="G1" s="6"/>
      <c r="H1" s="6"/>
      <c r="I1" s="7"/>
      <c r="J1" s="7"/>
      <c r="K1" s="7"/>
      <c r="L1" s="7"/>
      <c r="M1" s="7"/>
      <c r="N1" s="7"/>
      <c r="O1" s="7"/>
      <c r="P1" s="7"/>
      <c r="Q1" s="7"/>
      <c r="R1" s="7"/>
      <c r="S1" s="7"/>
      <c r="T1" s="7"/>
      <c r="U1" s="275" t="s">
        <v>568</v>
      </c>
    </row>
    <row r="2" spans="1:27" ht="13.8" x14ac:dyDescent="0.25">
      <c r="B2" s="9"/>
      <c r="C2" s="8" t="s">
        <v>571</v>
      </c>
      <c r="D2" s="5"/>
      <c r="E2" s="9"/>
      <c r="F2" s="9"/>
      <c r="G2" s="9"/>
      <c r="H2" s="9"/>
      <c r="I2" s="10"/>
      <c r="J2" s="177"/>
      <c r="K2" s="177"/>
      <c r="L2" s="177"/>
      <c r="M2" s="177"/>
      <c r="N2" s="177">
        <f>N7-SUM(N8:N11)</f>
        <v>0</v>
      </c>
      <c r="O2" s="177"/>
      <c r="P2" s="177">
        <f t="shared" ref="P2:Q2" si="0">P7-SUM(P8:P11)</f>
        <v>0</v>
      </c>
      <c r="Q2" s="177">
        <f t="shared" si="0"/>
        <v>0</v>
      </c>
      <c r="R2" s="177"/>
      <c r="S2" s="177"/>
      <c r="T2" s="177"/>
      <c r="U2" s="270"/>
    </row>
    <row r="3" spans="1:27" ht="13.8" x14ac:dyDescent="0.25">
      <c r="B3" s="9"/>
      <c r="C3" s="4"/>
      <c r="D3" s="5"/>
      <c r="E3" s="9"/>
      <c r="F3" s="9"/>
      <c r="G3" s="9"/>
      <c r="H3" s="9"/>
      <c r="I3" s="10"/>
      <c r="J3" s="11"/>
      <c r="K3" s="11"/>
      <c r="L3" s="11"/>
      <c r="M3" s="11"/>
      <c r="N3" s="11"/>
      <c r="O3" s="11"/>
      <c r="P3" s="11"/>
      <c r="Q3" s="11"/>
      <c r="R3" s="11"/>
      <c r="S3" s="11"/>
      <c r="T3" s="11"/>
      <c r="U3" s="271"/>
    </row>
    <row r="4" spans="1:27" ht="20.7" customHeight="1" x14ac:dyDescent="0.25">
      <c r="A4" s="12" t="s">
        <v>13</v>
      </c>
      <c r="B4" s="6"/>
      <c r="C4" s="5"/>
      <c r="D4" s="13"/>
      <c r="E4" s="6"/>
      <c r="F4" s="6"/>
      <c r="G4" s="6"/>
      <c r="H4" s="6"/>
      <c r="I4" s="14"/>
      <c r="J4" s="23"/>
      <c r="K4" s="23"/>
      <c r="L4" s="23"/>
      <c r="M4" s="23"/>
      <c r="N4" s="276" t="s">
        <v>14</v>
      </c>
      <c r="O4" s="277"/>
      <c r="P4" s="277"/>
      <c r="Q4" s="278"/>
      <c r="R4" s="279" t="s">
        <v>15</v>
      </c>
      <c r="S4" s="279"/>
      <c r="T4" s="279"/>
    </row>
    <row r="5" spans="1:27" s="22" customFormat="1" ht="41.4" x14ac:dyDescent="0.3">
      <c r="A5" s="15">
        <v>2022</v>
      </c>
      <c r="B5" s="18" t="s">
        <v>582</v>
      </c>
      <c r="C5" s="16" t="s">
        <v>16</v>
      </c>
      <c r="D5" s="17" t="s">
        <v>17</v>
      </c>
      <c r="E5" s="17" t="s">
        <v>18</v>
      </c>
      <c r="F5" s="274" t="s">
        <v>19</v>
      </c>
      <c r="G5" s="18" t="s">
        <v>20</v>
      </c>
      <c r="H5" s="18" t="s">
        <v>21</v>
      </c>
      <c r="I5" s="19" t="s">
        <v>22</v>
      </c>
      <c r="J5" s="21">
        <v>2023</v>
      </c>
      <c r="K5" s="21">
        <v>2024</v>
      </c>
      <c r="L5" s="21">
        <v>2025</v>
      </c>
      <c r="M5" s="21">
        <v>2026</v>
      </c>
      <c r="N5" s="21" t="s">
        <v>23</v>
      </c>
      <c r="O5" s="21" t="s">
        <v>24</v>
      </c>
      <c r="P5" s="21" t="s">
        <v>25</v>
      </c>
      <c r="Q5" s="21" t="s">
        <v>26</v>
      </c>
      <c r="R5" s="21" t="s">
        <v>23</v>
      </c>
      <c r="S5" s="21" t="s">
        <v>24</v>
      </c>
      <c r="T5" s="21" t="s">
        <v>25</v>
      </c>
      <c r="U5" s="21" t="s">
        <v>27</v>
      </c>
    </row>
    <row r="6" spans="1:27" x14ac:dyDescent="0.25">
      <c r="A6" s="23">
        <f>SUM(A12:A59)</f>
        <v>0</v>
      </c>
      <c r="B6" s="24"/>
      <c r="C6" s="24" t="s">
        <v>28</v>
      </c>
      <c r="D6" s="24" t="s">
        <v>3</v>
      </c>
      <c r="E6" s="24"/>
      <c r="F6" s="24"/>
      <c r="G6" s="24"/>
      <c r="H6" s="24"/>
      <c r="I6" s="25"/>
      <c r="J6" s="25"/>
      <c r="K6" s="25"/>
      <c r="L6" s="25"/>
      <c r="M6" s="25"/>
      <c r="N6" s="25"/>
      <c r="O6" s="25"/>
      <c r="P6" s="25"/>
      <c r="Q6" s="25"/>
      <c r="R6" s="25"/>
      <c r="S6" s="25"/>
      <c r="T6" s="25"/>
      <c r="U6" s="123"/>
      <c r="V6" s="257"/>
      <c r="W6" s="257"/>
      <c r="X6" s="257"/>
      <c r="Y6" s="257"/>
      <c r="Z6" s="257"/>
      <c r="AA6" s="258"/>
    </row>
    <row r="7" spans="1:27" x14ac:dyDescent="0.25">
      <c r="B7" s="24"/>
      <c r="C7" s="24" t="s">
        <v>29</v>
      </c>
      <c r="D7" s="24" t="s">
        <v>3</v>
      </c>
      <c r="E7" s="24"/>
      <c r="F7" s="24"/>
      <c r="G7" s="24"/>
      <c r="H7" s="24"/>
      <c r="I7" s="25"/>
      <c r="J7" s="25"/>
      <c r="K7" s="25"/>
      <c r="L7" s="25"/>
      <c r="M7" s="25"/>
      <c r="N7" s="25"/>
      <c r="O7" s="25"/>
      <c r="P7" s="25"/>
      <c r="Q7" s="25"/>
      <c r="R7" s="25"/>
      <c r="S7" s="25"/>
      <c r="T7" s="25"/>
      <c r="U7" s="123"/>
      <c r="V7" s="258"/>
      <c r="W7" s="258"/>
      <c r="X7" s="258"/>
      <c r="Y7" s="258"/>
      <c r="Z7" s="257"/>
      <c r="AA7" s="258"/>
    </row>
    <row r="8" spans="1:27" x14ac:dyDescent="0.25">
      <c r="B8" s="27"/>
      <c r="C8" s="26" t="s">
        <v>30</v>
      </c>
      <c r="D8" s="27" t="s">
        <v>0</v>
      </c>
      <c r="E8" s="27"/>
      <c r="F8" s="27"/>
      <c r="G8" s="27"/>
      <c r="H8" s="27"/>
      <c r="I8" s="28"/>
      <c r="J8" s="28"/>
      <c r="K8" s="28"/>
      <c r="L8" s="28"/>
      <c r="M8" s="28"/>
      <c r="N8" s="28"/>
      <c r="O8" s="28"/>
      <c r="P8" s="28"/>
      <c r="Q8" s="28"/>
      <c r="R8" s="28"/>
      <c r="S8" s="28"/>
      <c r="T8" s="28"/>
      <c r="U8" s="64"/>
      <c r="V8" s="257"/>
      <c r="W8" s="257"/>
      <c r="X8" s="257"/>
      <c r="Y8" s="257"/>
      <c r="Z8" s="257"/>
      <c r="AA8" s="258"/>
    </row>
    <row r="9" spans="1:27" x14ac:dyDescent="0.25">
      <c r="B9" s="27"/>
      <c r="C9" s="26"/>
      <c r="D9" s="27" t="s">
        <v>31</v>
      </c>
      <c r="E9" s="27"/>
      <c r="F9" s="27"/>
      <c r="G9" s="27"/>
      <c r="H9" s="27"/>
      <c r="I9" s="28"/>
      <c r="J9" s="28"/>
      <c r="K9" s="28"/>
      <c r="L9" s="28"/>
      <c r="M9" s="28"/>
      <c r="N9" s="28"/>
      <c r="O9" s="28"/>
      <c r="P9" s="28"/>
      <c r="Q9" s="28"/>
      <c r="R9" s="28"/>
      <c r="S9" s="28"/>
      <c r="T9" s="28"/>
      <c r="U9" s="64"/>
      <c r="V9" s="257"/>
      <c r="W9" s="257"/>
      <c r="X9" s="257"/>
      <c r="Y9" s="257"/>
      <c r="Z9" s="257"/>
      <c r="AA9" s="258"/>
    </row>
    <row r="10" spans="1:27" x14ac:dyDescent="0.25">
      <c r="B10" s="27"/>
      <c r="C10" s="26"/>
      <c r="D10" s="27" t="s">
        <v>32</v>
      </c>
      <c r="E10" s="27"/>
      <c r="F10" s="27"/>
      <c r="G10" s="27"/>
      <c r="H10" s="27"/>
      <c r="I10" s="28"/>
      <c r="J10" s="28"/>
      <c r="K10" s="28"/>
      <c r="L10" s="28"/>
      <c r="M10" s="28"/>
      <c r="N10" s="28"/>
      <c r="O10" s="28"/>
      <c r="P10" s="28"/>
      <c r="Q10" s="28"/>
      <c r="R10" s="28"/>
      <c r="S10" s="28"/>
      <c r="T10" s="28"/>
      <c r="U10" s="64"/>
      <c r="V10" s="257"/>
      <c r="W10" s="257"/>
      <c r="X10" s="257"/>
      <c r="Y10" s="257"/>
      <c r="Z10" s="257"/>
      <c r="AA10" s="258"/>
    </row>
    <row r="11" spans="1:27" x14ac:dyDescent="0.25">
      <c r="B11" s="27"/>
      <c r="C11" s="27"/>
      <c r="D11" s="27" t="s">
        <v>33</v>
      </c>
      <c r="E11" s="27"/>
      <c r="F11" s="27"/>
      <c r="G11" s="27"/>
      <c r="H11" s="27"/>
      <c r="I11" s="28"/>
      <c r="J11" s="28"/>
      <c r="K11" s="28"/>
      <c r="L11" s="28"/>
      <c r="M11" s="28"/>
      <c r="N11" s="28"/>
      <c r="O11" s="28"/>
      <c r="P11" s="28"/>
      <c r="Q11" s="28"/>
      <c r="R11" s="28"/>
      <c r="S11" s="28"/>
      <c r="T11" s="28"/>
      <c r="U11" s="64"/>
      <c r="V11" s="257"/>
      <c r="W11" s="257"/>
      <c r="X11" s="257"/>
      <c r="Y11" s="257"/>
      <c r="Z11" s="257"/>
      <c r="AA11" s="258"/>
    </row>
    <row r="12" spans="1:27" x14ac:dyDescent="0.25">
      <c r="B12" s="29"/>
      <c r="C12" s="29" t="s">
        <v>4</v>
      </c>
      <c r="D12" s="29" t="s">
        <v>3</v>
      </c>
      <c r="E12" s="29"/>
      <c r="F12" s="29"/>
      <c r="G12" s="29"/>
      <c r="H12" s="29"/>
      <c r="I12" s="30"/>
      <c r="J12" s="30"/>
      <c r="K12" s="30"/>
      <c r="L12" s="30"/>
      <c r="M12" s="30"/>
      <c r="N12" s="30"/>
      <c r="O12" s="30"/>
      <c r="P12" s="30"/>
      <c r="Q12" s="30"/>
      <c r="R12" s="30"/>
      <c r="S12" s="30"/>
      <c r="T12" s="30"/>
      <c r="U12" s="147"/>
      <c r="V12" s="257"/>
      <c r="W12" s="257"/>
      <c r="X12" s="257"/>
      <c r="Y12" s="257"/>
      <c r="Z12" s="257"/>
      <c r="AA12" s="258"/>
    </row>
    <row r="13" spans="1:27" s="1" customFormat="1" x14ac:dyDescent="0.25">
      <c r="B13" s="31"/>
      <c r="C13" s="31"/>
      <c r="D13" s="31"/>
      <c r="E13" s="31"/>
      <c r="F13" s="31"/>
      <c r="G13" s="31"/>
      <c r="H13" s="124"/>
      <c r="I13" s="32"/>
      <c r="J13" s="32"/>
      <c r="K13" s="32"/>
      <c r="L13" s="32"/>
      <c r="M13" s="32"/>
      <c r="N13" s="33"/>
      <c r="O13" s="33"/>
      <c r="P13" s="33"/>
      <c r="Q13" s="33"/>
      <c r="R13" s="125"/>
      <c r="S13" s="125"/>
      <c r="T13" s="125"/>
      <c r="U13" s="36"/>
      <c r="V13" s="259"/>
      <c r="W13" s="260"/>
      <c r="X13" s="260"/>
      <c r="Y13" s="260"/>
      <c r="Z13" s="260"/>
      <c r="AA13" s="258"/>
    </row>
    <row r="14" spans="1:27" s="1" customFormat="1" x14ac:dyDescent="0.25">
      <c r="B14" s="31"/>
      <c r="C14" s="31"/>
      <c r="D14" s="31"/>
      <c r="E14" s="31"/>
      <c r="F14" s="31"/>
      <c r="G14" s="31"/>
      <c r="H14" s="124"/>
      <c r="I14" s="32"/>
      <c r="J14" s="32"/>
      <c r="K14" s="32"/>
      <c r="L14" s="32"/>
      <c r="M14" s="32"/>
      <c r="N14" s="32"/>
      <c r="O14" s="32"/>
      <c r="P14" s="32"/>
      <c r="Q14" s="32"/>
      <c r="R14" s="36"/>
      <c r="S14" s="36"/>
      <c r="T14" s="36"/>
      <c r="U14" s="36"/>
      <c r="V14" s="259"/>
      <c r="W14" s="260"/>
      <c r="X14" s="260"/>
      <c r="Y14" s="260"/>
      <c r="Z14" s="260"/>
      <c r="AA14" s="258"/>
    </row>
    <row r="15" spans="1:27" s="1" customFormat="1" x14ac:dyDescent="0.25">
      <c r="B15" s="31"/>
      <c r="C15" s="31"/>
      <c r="D15" s="31"/>
      <c r="E15" s="31"/>
      <c r="F15" s="31"/>
      <c r="G15" s="31"/>
      <c r="H15" s="124"/>
      <c r="I15" s="32"/>
      <c r="J15" s="32"/>
      <c r="K15" s="32"/>
      <c r="L15" s="32"/>
      <c r="M15" s="32"/>
      <c r="N15" s="32"/>
      <c r="O15" s="32"/>
      <c r="P15" s="32"/>
      <c r="Q15" s="32"/>
      <c r="R15" s="36"/>
      <c r="S15" s="36"/>
      <c r="T15" s="36"/>
      <c r="U15" s="36"/>
      <c r="V15" s="259"/>
      <c r="W15" s="260"/>
      <c r="X15" s="260"/>
      <c r="Y15" s="260"/>
      <c r="Z15" s="260"/>
      <c r="AA15" s="258"/>
    </row>
    <row r="16" spans="1:27" x14ac:dyDescent="0.25">
      <c r="B16" s="45"/>
      <c r="C16" s="45" t="s">
        <v>72</v>
      </c>
      <c r="D16" s="45" t="s">
        <v>3</v>
      </c>
      <c r="E16" s="45"/>
      <c r="F16" s="45"/>
      <c r="G16" s="45"/>
      <c r="H16" s="45"/>
      <c r="I16" s="46"/>
      <c r="J16" s="46"/>
      <c r="K16" s="46"/>
      <c r="L16" s="46"/>
      <c r="M16" s="46"/>
      <c r="N16" s="46"/>
      <c r="O16" s="46"/>
      <c r="P16" s="46"/>
      <c r="Q16" s="46"/>
      <c r="R16" s="46"/>
      <c r="S16" s="46"/>
      <c r="T16" s="46"/>
      <c r="U16" s="147"/>
      <c r="V16" s="259"/>
      <c r="W16" s="257"/>
      <c r="X16" s="257"/>
      <c r="Y16" s="257"/>
      <c r="Z16" s="257"/>
      <c r="AA16" s="258"/>
    </row>
    <row r="17" spans="2:27" x14ac:dyDescent="0.25">
      <c r="B17" s="31"/>
      <c r="C17" s="31"/>
      <c r="D17" s="31"/>
      <c r="E17" s="31"/>
      <c r="F17" s="31"/>
      <c r="G17" s="31"/>
      <c r="H17" s="31"/>
      <c r="I17" s="32"/>
      <c r="J17" s="32"/>
      <c r="K17" s="32"/>
      <c r="L17" s="32"/>
      <c r="M17" s="32"/>
      <c r="N17" s="32"/>
      <c r="O17" s="32"/>
      <c r="P17" s="32"/>
      <c r="Q17" s="32"/>
      <c r="R17" s="32"/>
      <c r="S17" s="32"/>
      <c r="T17" s="32"/>
      <c r="U17" s="36"/>
      <c r="V17" s="259"/>
      <c r="W17" s="257"/>
      <c r="X17" s="257"/>
      <c r="Y17" s="257"/>
      <c r="Z17" s="257"/>
      <c r="AA17" s="258"/>
    </row>
    <row r="18" spans="2:27" x14ac:dyDescent="0.25">
      <c r="B18" s="31"/>
      <c r="C18" s="47"/>
      <c r="D18" s="31"/>
      <c r="E18" s="31"/>
      <c r="F18" s="31"/>
      <c r="G18" s="31"/>
      <c r="H18" s="31"/>
      <c r="I18" s="32"/>
      <c r="J18" s="32"/>
      <c r="K18" s="32"/>
      <c r="L18" s="32"/>
      <c r="M18" s="32"/>
      <c r="N18" s="32"/>
      <c r="O18" s="32"/>
      <c r="P18" s="32"/>
      <c r="Q18" s="32"/>
      <c r="R18" s="32"/>
      <c r="S18" s="32"/>
      <c r="T18" s="32"/>
      <c r="U18" s="36"/>
      <c r="V18" s="259"/>
      <c r="W18" s="257"/>
      <c r="X18" s="257"/>
      <c r="Y18" s="257"/>
      <c r="Z18" s="257"/>
      <c r="AA18" s="258"/>
    </row>
    <row r="19" spans="2:27" x14ac:dyDescent="0.25">
      <c r="B19" s="31"/>
      <c r="C19" s="31"/>
      <c r="D19" s="31"/>
      <c r="E19" s="31"/>
      <c r="F19" s="31"/>
      <c r="G19" s="31"/>
      <c r="H19" s="31"/>
      <c r="I19" s="32"/>
      <c r="J19" s="32"/>
      <c r="K19" s="32"/>
      <c r="L19" s="32"/>
      <c r="M19" s="32"/>
      <c r="N19" s="32"/>
      <c r="O19" s="32"/>
      <c r="P19" s="32"/>
      <c r="Q19" s="32"/>
      <c r="R19" s="32"/>
      <c r="S19" s="32"/>
      <c r="T19" s="32"/>
      <c r="U19" s="36"/>
      <c r="V19" s="259"/>
      <c r="W19" s="257"/>
      <c r="X19" s="257"/>
      <c r="Y19" s="257"/>
      <c r="Z19" s="257"/>
      <c r="AA19" s="258"/>
    </row>
    <row r="20" spans="2:27" s="1" customFormat="1" x14ac:dyDescent="0.25">
      <c r="B20" s="45"/>
      <c r="C20" s="45" t="s">
        <v>581</v>
      </c>
      <c r="D20" s="45" t="s">
        <v>3</v>
      </c>
      <c r="E20" s="45"/>
      <c r="F20" s="45"/>
      <c r="G20" s="45"/>
      <c r="H20" s="45"/>
      <c r="I20" s="46"/>
      <c r="J20" s="46"/>
      <c r="K20" s="46"/>
      <c r="L20" s="46"/>
      <c r="M20" s="46"/>
      <c r="N20" s="46"/>
      <c r="O20" s="46"/>
      <c r="P20" s="46"/>
      <c r="Q20" s="46"/>
      <c r="R20" s="46"/>
      <c r="S20" s="46"/>
      <c r="T20" s="46"/>
      <c r="U20" s="147"/>
      <c r="V20" s="259"/>
      <c r="W20" s="260"/>
      <c r="X20" s="260"/>
      <c r="Y20" s="260"/>
      <c r="Z20" s="260"/>
      <c r="AA20" s="258"/>
    </row>
    <row r="21" spans="2:27" s="1" customFormat="1" x14ac:dyDescent="0.25">
      <c r="B21" s="166"/>
      <c r="C21" s="31"/>
      <c r="D21" s="31"/>
      <c r="E21" s="31"/>
      <c r="F21" s="31"/>
      <c r="G21" s="166"/>
      <c r="H21" s="167"/>
      <c r="I21" s="32"/>
      <c r="J21" s="168"/>
      <c r="K21" s="32"/>
      <c r="L21" s="32"/>
      <c r="M21" s="32"/>
      <c r="N21" s="32"/>
      <c r="O21" s="32"/>
      <c r="P21" s="32"/>
      <c r="Q21" s="32"/>
      <c r="R21" s="32"/>
      <c r="S21" s="32"/>
      <c r="T21" s="32"/>
      <c r="U21" s="36"/>
      <c r="V21" s="259"/>
      <c r="W21" s="260"/>
      <c r="X21" s="260"/>
      <c r="Y21" s="260"/>
      <c r="Z21" s="260"/>
      <c r="AA21" s="258"/>
    </row>
    <row r="22" spans="2:27" s="1" customFormat="1" x14ac:dyDescent="0.25">
      <c r="B22" s="54"/>
      <c r="C22" s="54"/>
      <c r="D22" s="54"/>
      <c r="E22" s="54"/>
      <c r="F22" s="54"/>
      <c r="G22" s="54"/>
      <c r="H22" s="54"/>
      <c r="I22" s="55"/>
      <c r="J22" s="55"/>
      <c r="K22" s="55"/>
      <c r="L22" s="55"/>
      <c r="M22" s="55"/>
      <c r="N22" s="55"/>
      <c r="O22" s="55"/>
      <c r="P22" s="55"/>
      <c r="Q22" s="55"/>
      <c r="R22" s="55"/>
      <c r="S22" s="55"/>
      <c r="T22" s="55"/>
      <c r="U22" s="36"/>
      <c r="V22" s="259"/>
      <c r="W22" s="260"/>
      <c r="X22" s="260"/>
      <c r="Y22" s="260"/>
      <c r="Z22" s="260"/>
      <c r="AA22" s="258"/>
    </row>
    <row r="23" spans="2:27" s="1" customFormat="1" x14ac:dyDescent="0.25">
      <c r="B23" s="31"/>
      <c r="C23" s="31"/>
      <c r="D23" s="31"/>
      <c r="E23" s="31"/>
      <c r="F23" s="31"/>
      <c r="G23" s="31"/>
      <c r="H23" s="31"/>
      <c r="I23" s="32"/>
      <c r="J23" s="32"/>
      <c r="K23" s="32"/>
      <c r="L23" s="32"/>
      <c r="M23" s="32"/>
      <c r="N23" s="32"/>
      <c r="O23" s="32"/>
      <c r="P23" s="32"/>
      <c r="Q23" s="32"/>
      <c r="R23" s="32"/>
      <c r="S23" s="32"/>
      <c r="T23" s="32"/>
      <c r="U23" s="36"/>
      <c r="V23" s="259"/>
      <c r="W23" s="260"/>
      <c r="X23" s="260"/>
      <c r="Y23" s="260"/>
      <c r="Z23" s="260"/>
      <c r="AA23" s="258"/>
    </row>
    <row r="24" spans="2:27" s="1" customFormat="1" x14ac:dyDescent="0.25">
      <c r="B24" s="29"/>
      <c r="C24" s="29" t="s">
        <v>131</v>
      </c>
      <c r="D24" s="29" t="s">
        <v>3</v>
      </c>
      <c r="E24" s="29"/>
      <c r="F24" s="29"/>
      <c r="G24" s="29"/>
      <c r="H24" s="29"/>
      <c r="I24" s="30"/>
      <c r="J24" s="30"/>
      <c r="K24" s="30"/>
      <c r="L24" s="30"/>
      <c r="M24" s="30"/>
      <c r="N24" s="30"/>
      <c r="O24" s="30"/>
      <c r="P24" s="30"/>
      <c r="Q24" s="30"/>
      <c r="R24" s="30"/>
      <c r="S24" s="30"/>
      <c r="T24" s="30"/>
      <c r="U24" s="147"/>
      <c r="V24" s="259"/>
      <c r="W24" s="260"/>
      <c r="X24" s="260"/>
      <c r="Y24" s="260"/>
      <c r="Z24" s="260"/>
      <c r="AA24" s="258"/>
    </row>
    <row r="25" spans="2:27" s="1" customFormat="1" x14ac:dyDescent="0.25">
      <c r="B25" s="31"/>
      <c r="C25" s="31"/>
      <c r="D25" s="31"/>
      <c r="E25" s="31"/>
      <c r="F25" s="31"/>
      <c r="G25" s="31"/>
      <c r="H25" s="124"/>
      <c r="I25" s="32"/>
      <c r="J25" s="32"/>
      <c r="K25" s="32"/>
      <c r="L25" s="32"/>
      <c r="M25" s="32"/>
      <c r="N25" s="32"/>
      <c r="O25" s="32"/>
      <c r="P25" s="32"/>
      <c r="Q25" s="32"/>
      <c r="R25" s="36"/>
      <c r="S25" s="36"/>
      <c r="T25" s="36"/>
      <c r="U25" s="36"/>
      <c r="V25" s="259"/>
      <c r="W25" s="260"/>
      <c r="X25" s="260"/>
      <c r="Y25" s="260"/>
      <c r="Z25" s="260"/>
      <c r="AA25" s="258"/>
    </row>
    <row r="26" spans="2:27" s="1" customFormat="1" x14ac:dyDescent="0.25">
      <c r="B26" s="54"/>
      <c r="C26" s="54"/>
      <c r="D26" s="54"/>
      <c r="E26" s="54"/>
      <c r="F26" s="54"/>
      <c r="G26" s="54"/>
      <c r="H26" s="154"/>
      <c r="I26" s="55"/>
      <c r="J26" s="55"/>
      <c r="K26" s="55"/>
      <c r="L26" s="55"/>
      <c r="M26" s="55"/>
      <c r="N26" s="55"/>
      <c r="O26" s="55"/>
      <c r="P26" s="55"/>
      <c r="Q26" s="55"/>
      <c r="R26" s="58"/>
      <c r="S26" s="58"/>
      <c r="T26" s="58"/>
      <c r="U26" s="36"/>
      <c r="V26" s="259"/>
      <c r="W26" s="260"/>
      <c r="X26" s="260"/>
      <c r="Y26" s="260"/>
      <c r="Z26" s="260"/>
      <c r="AA26" s="258"/>
    </row>
    <row r="27" spans="2:27" s="1" customFormat="1" x14ac:dyDescent="0.25">
      <c r="B27" s="74"/>
      <c r="C27" s="74"/>
      <c r="D27" s="74"/>
      <c r="E27" s="74"/>
      <c r="F27" s="74"/>
      <c r="G27" s="74"/>
      <c r="H27" s="169"/>
      <c r="I27" s="32"/>
      <c r="J27" s="32"/>
      <c r="K27" s="32"/>
      <c r="L27" s="32"/>
      <c r="M27" s="32"/>
      <c r="N27" s="170"/>
      <c r="O27" s="170"/>
      <c r="P27" s="32"/>
      <c r="Q27" s="32"/>
      <c r="R27" s="36"/>
      <c r="S27" s="36"/>
      <c r="T27" s="36"/>
      <c r="U27" s="36"/>
      <c r="V27" s="259"/>
      <c r="W27" s="260"/>
      <c r="X27" s="260"/>
      <c r="Y27" s="260"/>
      <c r="Z27" s="260"/>
      <c r="AA27" s="258"/>
    </row>
    <row r="28" spans="2:27" s="1" customFormat="1" x14ac:dyDescent="0.25">
      <c r="B28" s="45"/>
      <c r="C28" s="45" t="s">
        <v>148</v>
      </c>
      <c r="D28" s="45" t="s">
        <v>3</v>
      </c>
      <c r="E28" s="45"/>
      <c r="F28" s="45"/>
      <c r="G28" s="45"/>
      <c r="H28" s="45"/>
      <c r="I28" s="46"/>
      <c r="J28" s="46"/>
      <c r="K28" s="46"/>
      <c r="L28" s="46"/>
      <c r="M28" s="46"/>
      <c r="N28" s="46"/>
      <c r="O28" s="46"/>
      <c r="P28" s="46"/>
      <c r="Q28" s="46"/>
      <c r="R28" s="46"/>
      <c r="S28" s="46"/>
      <c r="T28" s="46"/>
      <c r="U28" s="147"/>
      <c r="V28" s="259"/>
      <c r="W28" s="260"/>
      <c r="X28" s="260"/>
      <c r="Y28" s="260"/>
      <c r="Z28" s="260"/>
      <c r="AA28" s="258"/>
    </row>
    <row r="29" spans="2:27" s="1" customFormat="1" x14ac:dyDescent="0.25">
      <c r="B29" s="188"/>
      <c r="C29" s="187"/>
      <c r="D29" s="31"/>
      <c r="E29" s="188"/>
      <c r="F29" s="188"/>
      <c r="G29" s="188"/>
      <c r="H29" s="188"/>
      <c r="I29" s="190"/>
      <c r="J29" s="190"/>
      <c r="K29" s="190"/>
      <c r="L29" s="190"/>
      <c r="M29" s="190"/>
      <c r="N29" s="190"/>
      <c r="O29" s="190"/>
      <c r="P29" s="190"/>
      <c r="Q29" s="190"/>
      <c r="R29" s="190"/>
      <c r="S29" s="190"/>
      <c r="T29" s="190"/>
      <c r="U29" s="191"/>
      <c r="V29" s="259"/>
      <c r="W29" s="260"/>
      <c r="X29" s="260"/>
      <c r="Y29" s="260"/>
      <c r="Z29" s="260"/>
      <c r="AA29" s="258"/>
    </row>
    <row r="30" spans="2:27" s="1" customFormat="1" x14ac:dyDescent="0.25">
      <c r="B30" s="188"/>
      <c r="C30" s="187"/>
      <c r="D30" s="188"/>
      <c r="E30" s="188"/>
      <c r="F30" s="188"/>
      <c r="G30" s="188"/>
      <c r="H30" s="188"/>
      <c r="I30" s="190"/>
      <c r="J30" s="245"/>
      <c r="K30" s="245"/>
      <c r="L30" s="245"/>
      <c r="M30" s="245"/>
      <c r="N30" s="245"/>
      <c r="O30" s="245"/>
      <c r="P30" s="245"/>
      <c r="Q30" s="190"/>
      <c r="R30" s="190"/>
      <c r="S30" s="190"/>
      <c r="T30" s="190"/>
      <c r="U30" s="191"/>
      <c r="V30" s="259"/>
      <c r="W30" s="267"/>
      <c r="X30" s="267"/>
      <c r="Y30" s="267"/>
      <c r="Z30" s="267"/>
      <c r="AA30" s="258"/>
    </row>
    <row r="31" spans="2:27" s="1" customFormat="1" x14ac:dyDescent="0.25">
      <c r="B31" s="188"/>
      <c r="C31" s="187"/>
      <c r="D31" s="188"/>
      <c r="E31" s="188"/>
      <c r="F31" s="188"/>
      <c r="G31" s="188"/>
      <c r="H31" s="188"/>
      <c r="I31" s="190"/>
      <c r="J31" s="245"/>
      <c r="K31" s="245"/>
      <c r="L31" s="245"/>
      <c r="M31" s="245"/>
      <c r="N31" s="245"/>
      <c r="O31" s="245"/>
      <c r="P31" s="245"/>
      <c r="Q31" s="190"/>
      <c r="R31" s="190"/>
      <c r="S31" s="190"/>
      <c r="T31" s="190"/>
      <c r="U31" s="191"/>
      <c r="V31" s="259"/>
      <c r="W31" s="268"/>
      <c r="X31" s="268"/>
      <c r="Y31" s="268"/>
      <c r="Z31" s="268"/>
      <c r="AA31" s="258"/>
    </row>
    <row r="32" spans="2:27" s="1" customFormat="1" x14ac:dyDescent="0.25">
      <c r="B32" s="45"/>
      <c r="C32" s="45" t="s">
        <v>151</v>
      </c>
      <c r="D32" s="45" t="s">
        <v>3</v>
      </c>
      <c r="E32" s="45"/>
      <c r="F32" s="45"/>
      <c r="G32" s="45"/>
      <c r="H32" s="45"/>
      <c r="I32" s="46"/>
      <c r="J32" s="46"/>
      <c r="K32" s="46"/>
      <c r="L32" s="46"/>
      <c r="M32" s="46"/>
      <c r="N32" s="46"/>
      <c r="O32" s="46"/>
      <c r="P32" s="46"/>
      <c r="Q32" s="46"/>
      <c r="R32" s="46"/>
      <c r="S32" s="46"/>
      <c r="T32" s="46"/>
      <c r="U32" s="147"/>
      <c r="V32" s="259"/>
      <c r="W32" s="260"/>
      <c r="X32" s="260"/>
      <c r="Y32" s="260"/>
      <c r="Z32" s="260"/>
      <c r="AA32" s="258"/>
    </row>
    <row r="33" spans="1:27" x14ac:dyDescent="0.25">
      <c r="B33" s="166"/>
      <c r="C33" s="31"/>
      <c r="D33" s="31"/>
      <c r="E33" s="31"/>
      <c r="F33" s="31"/>
      <c r="G33" s="166"/>
      <c r="H33" s="167"/>
      <c r="I33" s="32"/>
      <c r="J33" s="32"/>
      <c r="K33" s="32"/>
      <c r="L33" s="32"/>
      <c r="M33" s="32"/>
      <c r="N33" s="32"/>
      <c r="O33" s="32"/>
      <c r="P33" s="32"/>
      <c r="Q33" s="32"/>
      <c r="R33" s="32"/>
      <c r="S33" s="32"/>
      <c r="T33" s="32"/>
      <c r="U33" s="36"/>
      <c r="V33" s="259"/>
      <c r="W33" s="257"/>
      <c r="X33" s="257"/>
      <c r="Y33" s="257"/>
      <c r="Z33" s="257"/>
      <c r="AA33" s="258"/>
    </row>
    <row r="34" spans="1:27" s="1" customFormat="1" x14ac:dyDescent="0.25">
      <c r="B34" s="31"/>
      <c r="C34" s="31"/>
      <c r="D34" s="31"/>
      <c r="E34" s="31"/>
      <c r="F34" s="31"/>
      <c r="G34" s="31"/>
      <c r="H34" s="124"/>
      <c r="I34" s="32"/>
      <c r="J34" s="32"/>
      <c r="K34" s="32"/>
      <c r="L34" s="32"/>
      <c r="M34" s="32"/>
      <c r="N34" s="32"/>
      <c r="O34" s="32"/>
      <c r="P34" s="32"/>
      <c r="Q34" s="32"/>
      <c r="R34" s="32"/>
      <c r="S34" s="32"/>
      <c r="T34" s="32"/>
      <c r="U34" s="36"/>
      <c r="V34" s="259"/>
      <c r="W34" s="260"/>
      <c r="X34" s="260"/>
      <c r="Y34" s="260"/>
      <c r="Z34" s="260"/>
      <c r="AA34" s="258"/>
    </row>
    <row r="35" spans="1:27" s="1" customFormat="1" x14ac:dyDescent="0.25">
      <c r="B35" s="31"/>
      <c r="C35" s="31"/>
      <c r="D35" s="31"/>
      <c r="E35" s="31"/>
      <c r="F35" s="31"/>
      <c r="G35" s="31"/>
      <c r="H35" s="124"/>
      <c r="I35" s="32"/>
      <c r="J35" s="32"/>
      <c r="K35" s="32"/>
      <c r="L35" s="32"/>
      <c r="M35" s="32"/>
      <c r="N35" s="32"/>
      <c r="O35" s="32"/>
      <c r="P35" s="32"/>
      <c r="Q35" s="32"/>
      <c r="R35" s="32"/>
      <c r="S35" s="32"/>
      <c r="T35" s="32"/>
      <c r="U35" s="36"/>
      <c r="V35" s="259"/>
      <c r="W35" s="260"/>
      <c r="X35" s="260"/>
      <c r="Y35" s="260"/>
      <c r="Z35" s="260"/>
      <c r="AA35" s="258"/>
    </row>
    <row r="36" spans="1:27" s="1" customFormat="1" x14ac:dyDescent="0.25">
      <c r="B36" s="45"/>
      <c r="C36" s="45" t="s">
        <v>161</v>
      </c>
      <c r="D36" s="45" t="s">
        <v>3</v>
      </c>
      <c r="E36" s="45"/>
      <c r="F36" s="45"/>
      <c r="G36" s="45"/>
      <c r="H36" s="45"/>
      <c r="I36" s="46"/>
      <c r="J36" s="46"/>
      <c r="K36" s="46"/>
      <c r="L36" s="46"/>
      <c r="M36" s="46"/>
      <c r="N36" s="46"/>
      <c r="O36" s="46"/>
      <c r="P36" s="46"/>
      <c r="Q36" s="46"/>
      <c r="R36" s="46"/>
      <c r="S36" s="46"/>
      <c r="T36" s="46"/>
      <c r="U36" s="147"/>
      <c r="V36" s="259"/>
      <c r="W36" s="260"/>
      <c r="X36" s="260"/>
      <c r="Y36" s="260"/>
      <c r="Z36" s="260"/>
      <c r="AA36" s="258"/>
    </row>
    <row r="37" spans="1:27" x14ac:dyDescent="0.25">
      <c r="B37" s="31"/>
      <c r="C37" s="31"/>
      <c r="D37" s="31"/>
      <c r="E37" s="31"/>
      <c r="F37" s="31"/>
      <c r="G37" s="31"/>
      <c r="H37" s="31"/>
      <c r="I37" s="32"/>
      <c r="J37" s="32"/>
      <c r="K37" s="32"/>
      <c r="L37" s="32"/>
      <c r="M37" s="32"/>
      <c r="N37" s="32"/>
      <c r="O37" s="32"/>
      <c r="P37" s="32"/>
      <c r="Q37" s="32"/>
      <c r="R37" s="32"/>
      <c r="S37" s="32"/>
      <c r="T37" s="32"/>
      <c r="U37" s="36"/>
      <c r="V37" s="259"/>
      <c r="W37" s="257"/>
      <c r="X37" s="257"/>
      <c r="Y37" s="257"/>
      <c r="Z37" s="257"/>
      <c r="AA37" s="258"/>
    </row>
    <row r="38" spans="1:27" s="1" customFormat="1" x14ac:dyDescent="0.25">
      <c r="B38" s="31"/>
      <c r="C38" s="31"/>
      <c r="D38" s="31"/>
      <c r="E38" s="31"/>
      <c r="F38" s="31"/>
      <c r="G38" s="31"/>
      <c r="H38" s="31"/>
      <c r="I38" s="32"/>
      <c r="J38" s="237"/>
      <c r="K38" s="32"/>
      <c r="L38" s="32"/>
      <c r="M38" s="32"/>
      <c r="N38" s="32"/>
      <c r="O38" s="32"/>
      <c r="P38" s="32"/>
      <c r="Q38" s="32"/>
      <c r="R38" s="32"/>
      <c r="S38" s="32"/>
      <c r="T38" s="32"/>
      <c r="U38" s="36"/>
      <c r="V38" s="259"/>
      <c r="W38" s="260"/>
      <c r="X38" s="260"/>
      <c r="Y38" s="260"/>
      <c r="Z38" s="260"/>
      <c r="AA38" s="258"/>
    </row>
    <row r="39" spans="1:27" s="1" customFormat="1" x14ac:dyDescent="0.25">
      <c r="B39" s="31"/>
      <c r="C39" s="31"/>
      <c r="D39" s="31"/>
      <c r="E39" s="31"/>
      <c r="F39" s="31"/>
      <c r="G39" s="31"/>
      <c r="H39" s="31"/>
      <c r="I39" s="32"/>
      <c r="J39" s="237"/>
      <c r="K39" s="32"/>
      <c r="L39" s="32"/>
      <c r="M39" s="32"/>
      <c r="N39" s="32"/>
      <c r="O39" s="32"/>
      <c r="P39" s="32"/>
      <c r="Q39" s="32"/>
      <c r="R39" s="32"/>
      <c r="S39" s="32"/>
      <c r="T39" s="32"/>
      <c r="U39" s="36"/>
      <c r="V39" s="259"/>
      <c r="W39" s="260"/>
      <c r="X39" s="260"/>
      <c r="Y39" s="260"/>
      <c r="Z39" s="260"/>
      <c r="AA39" s="258"/>
    </row>
    <row r="40" spans="1:27" x14ac:dyDescent="0.25">
      <c r="B40" s="45"/>
      <c r="C40" s="45" t="s">
        <v>166</v>
      </c>
      <c r="D40" s="45" t="s">
        <v>3</v>
      </c>
      <c r="E40" s="45"/>
      <c r="F40" s="45"/>
      <c r="G40" s="45"/>
      <c r="H40" s="45"/>
      <c r="I40" s="46"/>
      <c r="J40" s="46"/>
      <c r="K40" s="46"/>
      <c r="L40" s="46"/>
      <c r="M40" s="46"/>
      <c r="N40" s="46"/>
      <c r="O40" s="46"/>
      <c r="P40" s="46"/>
      <c r="Q40" s="46"/>
      <c r="R40" s="46"/>
      <c r="S40" s="46"/>
      <c r="T40" s="46"/>
      <c r="U40" s="147"/>
      <c r="V40" s="259"/>
      <c r="W40" s="257"/>
      <c r="X40" s="257"/>
      <c r="Y40" s="257"/>
      <c r="Z40" s="257"/>
      <c r="AA40" s="258"/>
    </row>
    <row r="41" spans="1:27" s="1" customFormat="1" x14ac:dyDescent="0.25">
      <c r="A41" s="73"/>
      <c r="B41" s="246"/>
      <c r="C41" s="246"/>
      <c r="D41" s="246"/>
      <c r="E41" s="246"/>
      <c r="F41" s="246"/>
      <c r="G41" s="246"/>
      <c r="H41" s="246"/>
      <c r="I41" s="247"/>
      <c r="J41" s="247"/>
      <c r="K41" s="247"/>
      <c r="L41" s="247"/>
      <c r="M41" s="247"/>
      <c r="N41" s="247"/>
      <c r="O41" s="247"/>
      <c r="P41" s="247"/>
      <c r="Q41" s="247"/>
      <c r="R41" s="247"/>
      <c r="S41" s="247"/>
      <c r="T41" s="247"/>
      <c r="U41" s="248"/>
      <c r="V41" s="259"/>
      <c r="W41" s="260"/>
      <c r="X41" s="260"/>
      <c r="Y41" s="260"/>
      <c r="Z41" s="260"/>
      <c r="AA41" s="258"/>
    </row>
    <row r="42" spans="1:27" s="1" customFormat="1" x14ac:dyDescent="0.25">
      <c r="B42" s="246"/>
      <c r="C42" s="246"/>
      <c r="D42" s="246"/>
      <c r="E42" s="246"/>
      <c r="F42" s="246"/>
      <c r="G42" s="246"/>
      <c r="H42" s="246"/>
      <c r="I42" s="247"/>
      <c r="J42" s="247"/>
      <c r="K42" s="247"/>
      <c r="L42" s="247"/>
      <c r="M42" s="247"/>
      <c r="N42" s="247"/>
      <c r="O42" s="247"/>
      <c r="P42" s="247"/>
      <c r="Q42" s="247"/>
      <c r="R42" s="247"/>
      <c r="S42" s="247"/>
      <c r="T42" s="247"/>
      <c r="U42" s="248"/>
      <c r="V42" s="259"/>
      <c r="W42" s="260"/>
      <c r="X42" s="260"/>
      <c r="Y42" s="260"/>
      <c r="Z42" s="260"/>
      <c r="AA42" s="258"/>
    </row>
    <row r="43" spans="1:27" s="1" customFormat="1" x14ac:dyDescent="0.25">
      <c r="B43" s="246"/>
      <c r="C43" s="246"/>
      <c r="D43" s="246"/>
      <c r="E43" s="246"/>
      <c r="F43" s="246"/>
      <c r="G43" s="246"/>
      <c r="H43" s="246"/>
      <c r="I43" s="247"/>
      <c r="J43" s="249"/>
      <c r="K43" s="249"/>
      <c r="L43" s="249"/>
      <c r="M43" s="249"/>
      <c r="N43" s="247"/>
      <c r="O43" s="247"/>
      <c r="P43" s="247"/>
      <c r="Q43" s="247"/>
      <c r="R43" s="247"/>
      <c r="S43" s="247"/>
      <c r="T43" s="247"/>
      <c r="U43" s="248"/>
      <c r="V43" s="259"/>
      <c r="W43" s="260"/>
      <c r="X43" s="260"/>
      <c r="Y43" s="260"/>
      <c r="Z43" s="260"/>
      <c r="AA43" s="258"/>
    </row>
    <row r="44" spans="1:27" x14ac:dyDescent="0.25">
      <c r="B44" s="45"/>
      <c r="C44" s="45" t="s">
        <v>171</v>
      </c>
      <c r="D44" s="45" t="s">
        <v>3</v>
      </c>
      <c r="E44" s="45"/>
      <c r="F44" s="45"/>
      <c r="G44" s="45"/>
      <c r="H44" s="45"/>
      <c r="I44" s="46"/>
      <c r="J44" s="46"/>
      <c r="K44" s="46"/>
      <c r="L44" s="46"/>
      <c r="M44" s="46"/>
      <c r="N44" s="46"/>
      <c r="O44" s="46"/>
      <c r="P44" s="46"/>
      <c r="Q44" s="46"/>
      <c r="R44" s="46"/>
      <c r="S44" s="46"/>
      <c r="T44" s="46"/>
      <c r="U44" s="147"/>
      <c r="V44" s="259"/>
      <c r="W44" s="257"/>
      <c r="X44" s="257"/>
      <c r="Y44" s="257"/>
      <c r="Z44" s="257"/>
      <c r="AA44" s="258"/>
    </row>
    <row r="45" spans="1:27" x14ac:dyDescent="0.25">
      <c r="B45" s="79"/>
      <c r="C45" s="79"/>
      <c r="D45" s="79"/>
      <c r="E45" s="79"/>
      <c r="F45" s="79"/>
      <c r="G45" s="79"/>
      <c r="H45" s="79"/>
      <c r="I45" s="80"/>
      <c r="J45" s="80"/>
      <c r="K45" s="80"/>
      <c r="L45" s="80"/>
      <c r="M45" s="80"/>
      <c r="N45" s="80"/>
      <c r="O45" s="80"/>
      <c r="P45" s="80"/>
      <c r="Q45" s="80"/>
      <c r="R45" s="80"/>
      <c r="S45" s="80"/>
      <c r="T45" s="80"/>
      <c r="U45" s="175"/>
      <c r="V45" s="259"/>
      <c r="W45" s="257"/>
      <c r="X45" s="257"/>
      <c r="Y45" s="257"/>
      <c r="Z45" s="257"/>
      <c r="AA45" s="258"/>
    </row>
    <row r="46" spans="1:27" x14ac:dyDescent="0.25">
      <c r="B46" s="79"/>
      <c r="C46" s="81"/>
      <c r="D46" s="79"/>
      <c r="E46" s="79"/>
      <c r="F46" s="79"/>
      <c r="G46" s="79"/>
      <c r="H46" s="79"/>
      <c r="I46" s="80"/>
      <c r="J46" s="80"/>
      <c r="K46" s="80"/>
      <c r="L46" s="80"/>
      <c r="M46" s="80"/>
      <c r="N46" s="80"/>
      <c r="O46" s="80"/>
      <c r="P46" s="80"/>
      <c r="Q46" s="80"/>
      <c r="R46" s="80"/>
      <c r="S46" s="80"/>
      <c r="T46" s="80"/>
      <c r="U46" s="175"/>
      <c r="V46" s="259"/>
      <c r="W46" s="257"/>
      <c r="X46" s="257"/>
      <c r="Y46" s="257"/>
      <c r="Z46" s="257"/>
      <c r="AA46" s="258"/>
    </row>
    <row r="47" spans="1:27" x14ac:dyDescent="0.25">
      <c r="B47" s="79"/>
      <c r="C47" s="82"/>
      <c r="D47" s="79"/>
      <c r="E47" s="79"/>
      <c r="F47" s="79"/>
      <c r="G47" s="79"/>
      <c r="H47" s="79"/>
      <c r="I47" s="80"/>
      <c r="J47" s="80"/>
      <c r="K47" s="80"/>
      <c r="L47" s="80"/>
      <c r="M47" s="80"/>
      <c r="N47" s="80"/>
      <c r="O47" s="80"/>
      <c r="P47" s="80"/>
      <c r="Q47" s="80"/>
      <c r="R47" s="80"/>
      <c r="S47" s="80"/>
      <c r="T47" s="80"/>
      <c r="U47" s="175"/>
      <c r="V47" s="259"/>
      <c r="W47" s="257"/>
      <c r="X47" s="257"/>
      <c r="Y47" s="257"/>
      <c r="Z47" s="257"/>
      <c r="AA47" s="258"/>
    </row>
    <row r="48" spans="1:27" x14ac:dyDescent="0.25">
      <c r="B48" s="45"/>
      <c r="C48" s="45" t="s">
        <v>215</v>
      </c>
      <c r="D48" s="45" t="s">
        <v>3</v>
      </c>
      <c r="E48" s="45"/>
      <c r="F48" s="45"/>
      <c r="G48" s="45"/>
      <c r="H48" s="45"/>
      <c r="I48" s="46"/>
      <c r="J48" s="46"/>
      <c r="K48" s="46"/>
      <c r="L48" s="46"/>
      <c r="M48" s="46"/>
      <c r="N48" s="46"/>
      <c r="O48" s="46"/>
      <c r="P48" s="46"/>
      <c r="Q48" s="46"/>
      <c r="R48" s="46"/>
      <c r="S48" s="46"/>
      <c r="T48" s="46"/>
      <c r="U48" s="147"/>
      <c r="V48" s="259"/>
      <c r="W48" s="257"/>
      <c r="X48" s="257"/>
      <c r="Y48" s="257"/>
      <c r="Z48" s="257"/>
      <c r="AA48" s="258"/>
    </row>
    <row r="49" spans="2:27" x14ac:dyDescent="0.25">
      <c r="B49" s="197"/>
      <c r="C49" s="197"/>
      <c r="D49" s="197"/>
      <c r="E49" s="197"/>
      <c r="F49" s="197"/>
      <c r="G49" s="197"/>
      <c r="H49" s="197"/>
      <c r="I49" s="198"/>
      <c r="J49" s="198"/>
      <c r="K49" s="198"/>
      <c r="L49" s="198"/>
      <c r="M49" s="198"/>
      <c r="N49" s="198"/>
      <c r="O49" s="198"/>
      <c r="P49" s="198"/>
      <c r="Q49" s="198"/>
      <c r="R49" s="198"/>
      <c r="S49" s="198"/>
      <c r="T49" s="198"/>
      <c r="U49" s="199"/>
      <c r="V49" s="259"/>
      <c r="W49" s="257"/>
      <c r="X49" s="257"/>
      <c r="Y49" s="257"/>
      <c r="Z49" s="257"/>
      <c r="AA49" s="258"/>
    </row>
    <row r="50" spans="2:27" s="1" customFormat="1" x14ac:dyDescent="0.25">
      <c r="B50" s="200"/>
      <c r="C50" s="200"/>
      <c r="D50" s="200"/>
      <c r="E50" s="200"/>
      <c r="F50" s="200"/>
      <c r="G50" s="200"/>
      <c r="H50" s="200"/>
      <c r="I50" s="201"/>
      <c r="J50" s="201"/>
      <c r="K50" s="201"/>
      <c r="L50" s="201"/>
      <c r="M50" s="201"/>
      <c r="N50" s="201"/>
      <c r="O50" s="201"/>
      <c r="P50" s="201"/>
      <c r="Q50" s="201"/>
      <c r="R50" s="201"/>
      <c r="S50" s="201"/>
      <c r="T50" s="201"/>
      <c r="U50" s="202"/>
      <c r="V50" s="259"/>
      <c r="W50" s="260"/>
      <c r="X50" s="260"/>
      <c r="Y50" s="260"/>
      <c r="Z50" s="260"/>
      <c r="AA50" s="258"/>
    </row>
    <row r="51" spans="2:27" s="1" customFormat="1" x14ac:dyDescent="0.25">
      <c r="B51" s="200"/>
      <c r="C51" s="200"/>
      <c r="D51" s="200"/>
      <c r="E51" s="200"/>
      <c r="F51" s="200"/>
      <c r="G51" s="200"/>
      <c r="H51" s="200"/>
      <c r="I51" s="201"/>
      <c r="J51" s="201"/>
      <c r="K51" s="201"/>
      <c r="L51" s="201"/>
      <c r="M51" s="201"/>
      <c r="N51" s="201"/>
      <c r="O51" s="201"/>
      <c r="P51" s="201"/>
      <c r="Q51" s="201"/>
      <c r="R51" s="201"/>
      <c r="S51" s="201"/>
      <c r="T51" s="201"/>
      <c r="U51" s="202"/>
      <c r="V51" s="259"/>
      <c r="W51" s="260"/>
      <c r="X51" s="260"/>
      <c r="Y51" s="260"/>
      <c r="Z51" s="260"/>
      <c r="AA51" s="258"/>
    </row>
    <row r="52" spans="2:27" x14ac:dyDescent="0.25">
      <c r="B52" s="45"/>
      <c r="C52" s="45" t="s">
        <v>220</v>
      </c>
      <c r="D52" s="45" t="s">
        <v>3</v>
      </c>
      <c r="E52" s="45"/>
      <c r="F52" s="45"/>
      <c r="G52" s="45"/>
      <c r="H52" s="45"/>
      <c r="I52" s="46"/>
      <c r="J52" s="46"/>
      <c r="K52" s="46"/>
      <c r="L52" s="46"/>
      <c r="M52" s="46"/>
      <c r="N52" s="46"/>
      <c r="O52" s="46"/>
      <c r="P52" s="46"/>
      <c r="Q52" s="46"/>
      <c r="R52" s="46"/>
      <c r="S52" s="46"/>
      <c r="T52" s="46"/>
      <c r="U52" s="147"/>
      <c r="V52" s="259"/>
      <c r="W52" s="257"/>
      <c r="X52" s="257"/>
      <c r="Y52" s="257"/>
      <c r="Z52" s="257"/>
      <c r="AA52" s="258"/>
    </row>
    <row r="53" spans="2:27" s="1" customFormat="1" x14ac:dyDescent="0.25">
      <c r="B53" s="31"/>
      <c r="C53" s="31"/>
      <c r="D53" s="31"/>
      <c r="E53" s="31"/>
      <c r="F53" s="31"/>
      <c r="G53" s="31"/>
      <c r="H53" s="31"/>
      <c r="I53" s="32"/>
      <c r="J53" s="32"/>
      <c r="K53" s="32"/>
      <c r="L53" s="32"/>
      <c r="M53" s="32"/>
      <c r="N53" s="32"/>
      <c r="O53" s="32"/>
      <c r="P53" s="32"/>
      <c r="Q53" s="32"/>
      <c r="R53" s="32"/>
      <c r="S53" s="32"/>
      <c r="T53" s="32"/>
      <c r="U53" s="36"/>
      <c r="V53" s="259"/>
      <c r="W53" s="260"/>
      <c r="X53" s="260"/>
      <c r="Y53" s="260"/>
      <c r="Z53" s="260"/>
      <c r="AA53" s="258"/>
    </row>
    <row r="54" spans="2:27" s="1" customFormat="1" x14ac:dyDescent="0.25">
      <c r="B54" s="104"/>
      <c r="C54" s="103"/>
      <c r="D54" s="104"/>
      <c r="E54" s="104"/>
      <c r="F54" s="104"/>
      <c r="G54" s="104"/>
      <c r="H54" s="104"/>
      <c r="I54" s="105"/>
      <c r="J54" s="105"/>
      <c r="K54" s="105"/>
      <c r="L54" s="105"/>
      <c r="M54" s="105"/>
      <c r="N54" s="105"/>
      <c r="O54" s="105"/>
      <c r="P54" s="105"/>
      <c r="Q54" s="105"/>
      <c r="R54" s="105"/>
      <c r="S54" s="105"/>
      <c r="T54" s="105"/>
      <c r="U54" s="105"/>
      <c r="V54" s="259"/>
      <c r="W54" s="260"/>
      <c r="X54" s="260"/>
      <c r="Y54" s="260"/>
      <c r="Z54" s="260"/>
      <c r="AA54" s="258"/>
    </row>
    <row r="55" spans="2:27" s="1" customFormat="1" x14ac:dyDescent="0.25">
      <c r="B55" s="107"/>
      <c r="C55" s="106"/>
      <c r="D55" s="107"/>
      <c r="E55" s="107"/>
      <c r="F55" s="107"/>
      <c r="G55" s="107"/>
      <c r="H55" s="107"/>
      <c r="I55" s="108"/>
      <c r="J55" s="108"/>
      <c r="K55" s="108"/>
      <c r="L55" s="108"/>
      <c r="M55" s="108"/>
      <c r="N55" s="108"/>
      <c r="O55" s="108"/>
      <c r="P55" s="108"/>
      <c r="Q55" s="108"/>
      <c r="R55" s="108"/>
      <c r="S55" s="108"/>
      <c r="T55" s="108"/>
      <c r="U55" s="105"/>
      <c r="V55" s="259"/>
      <c r="W55" s="260"/>
      <c r="X55" s="260"/>
      <c r="Y55" s="260"/>
      <c r="Z55" s="260"/>
      <c r="AA55" s="258"/>
    </row>
    <row r="56" spans="2:27" x14ac:dyDescent="0.25">
      <c r="B56" s="45"/>
      <c r="C56" s="45" t="s">
        <v>267</v>
      </c>
      <c r="D56" s="45" t="s">
        <v>3</v>
      </c>
      <c r="E56" s="45"/>
      <c r="F56" s="45"/>
      <c r="G56" s="45"/>
      <c r="H56" s="45"/>
      <c r="I56" s="46"/>
      <c r="J56" s="46"/>
      <c r="K56" s="46"/>
      <c r="L56" s="46"/>
      <c r="M56" s="46"/>
      <c r="N56" s="46"/>
      <c r="O56" s="46"/>
      <c r="P56" s="46"/>
      <c r="Q56" s="46"/>
      <c r="R56" s="46"/>
      <c r="S56" s="46"/>
      <c r="T56" s="46"/>
      <c r="U56" s="147"/>
      <c r="V56" s="259"/>
      <c r="W56" s="257"/>
      <c r="X56" s="257"/>
      <c r="Y56" s="257"/>
      <c r="Z56" s="257"/>
      <c r="AA56" s="258"/>
    </row>
    <row r="57" spans="2:27" x14ac:dyDescent="0.25">
      <c r="B57" s="69"/>
      <c r="C57" s="68"/>
      <c r="D57" s="69"/>
      <c r="E57" s="69"/>
      <c r="F57" s="69"/>
      <c r="G57" s="69"/>
      <c r="H57" s="69"/>
      <c r="I57" s="70"/>
      <c r="J57" s="70"/>
      <c r="K57" s="70"/>
      <c r="L57" s="70"/>
      <c r="M57" s="70"/>
      <c r="N57" s="70"/>
      <c r="O57" s="70"/>
      <c r="P57" s="70"/>
      <c r="Q57" s="70"/>
      <c r="R57" s="70"/>
      <c r="S57" s="70"/>
      <c r="T57" s="70"/>
      <c r="U57" s="105"/>
      <c r="V57" s="259"/>
      <c r="W57" s="257"/>
      <c r="X57" s="257"/>
      <c r="Y57" s="257"/>
      <c r="Z57" s="257"/>
      <c r="AA57" s="258"/>
    </row>
    <row r="58" spans="2:27" x14ac:dyDescent="0.25">
      <c r="B58" s="69"/>
      <c r="C58" s="68"/>
      <c r="D58" s="69"/>
      <c r="E58" s="69"/>
      <c r="F58" s="69"/>
      <c r="G58" s="69"/>
      <c r="H58" s="69"/>
      <c r="I58" s="70"/>
      <c r="J58" s="70"/>
      <c r="K58" s="70"/>
      <c r="L58" s="70"/>
      <c r="M58" s="70"/>
      <c r="N58" s="70"/>
      <c r="O58" s="70"/>
      <c r="P58" s="70"/>
      <c r="Q58" s="70"/>
      <c r="R58" s="70"/>
      <c r="S58" s="70"/>
      <c r="T58" s="70"/>
      <c r="U58" s="105"/>
      <c r="V58" s="259"/>
      <c r="W58" s="257"/>
      <c r="X58" s="257"/>
      <c r="Y58" s="257"/>
      <c r="Z58" s="257"/>
      <c r="AA58" s="258"/>
    </row>
    <row r="59" spans="2:27" x14ac:dyDescent="0.25">
      <c r="B59" s="69"/>
      <c r="C59" s="68"/>
      <c r="D59" s="69"/>
      <c r="E59" s="69"/>
      <c r="F59" s="69"/>
      <c r="G59" s="69"/>
      <c r="H59" s="69"/>
      <c r="I59" s="70"/>
      <c r="J59" s="70"/>
      <c r="K59" s="70"/>
      <c r="L59" s="70"/>
      <c r="M59" s="70"/>
      <c r="N59" s="70"/>
      <c r="O59" s="70"/>
      <c r="P59" s="70"/>
      <c r="Q59" s="70"/>
      <c r="R59" s="70"/>
      <c r="S59" s="70"/>
      <c r="T59" s="70"/>
      <c r="U59" s="105"/>
      <c r="V59" s="259"/>
      <c r="W59" s="257"/>
      <c r="X59" s="257"/>
      <c r="Y59" s="257"/>
      <c r="Z59" s="257"/>
      <c r="AA59" s="258"/>
    </row>
    <row r="60" spans="2:27" x14ac:dyDescent="0.25">
      <c r="B60" s="23"/>
      <c r="C60" s="114"/>
      <c r="D60" s="115"/>
      <c r="E60" s="23"/>
      <c r="F60" s="23"/>
      <c r="G60" s="23"/>
      <c r="H60" s="23"/>
      <c r="I60" s="116"/>
      <c r="J60" s="117"/>
      <c r="K60" s="117"/>
      <c r="L60" s="117"/>
      <c r="M60" s="117"/>
      <c r="N60" s="117"/>
      <c r="O60" s="117"/>
      <c r="P60" s="117"/>
      <c r="Q60" s="117"/>
      <c r="R60" s="117"/>
      <c r="S60" s="117"/>
      <c r="T60" s="117"/>
      <c r="U60" s="272"/>
    </row>
    <row r="61" spans="2:27" ht="13.8" x14ac:dyDescent="0.25">
      <c r="B61" s="119"/>
      <c r="C61" s="118" t="s">
        <v>268</v>
      </c>
      <c r="D61" s="119"/>
      <c r="E61" s="119"/>
      <c r="F61" s="119"/>
      <c r="G61" s="119"/>
      <c r="H61" s="119"/>
      <c r="I61" s="117"/>
    </row>
    <row r="62" spans="2:27" ht="13.8" x14ac:dyDescent="0.25">
      <c r="B62" s="119"/>
      <c r="C62" s="120" t="s">
        <v>269</v>
      </c>
      <c r="D62" s="119"/>
      <c r="E62" s="119"/>
      <c r="F62" s="119"/>
      <c r="G62" s="119"/>
      <c r="H62" s="119"/>
      <c r="I62" s="117"/>
    </row>
    <row r="63" spans="2:27" x14ac:dyDescent="0.25">
      <c r="B63" s="121"/>
      <c r="C63" s="120" t="s">
        <v>270</v>
      </c>
      <c r="D63" s="121"/>
      <c r="E63" s="121"/>
      <c r="F63" s="121"/>
      <c r="G63" s="121"/>
      <c r="H63" s="121"/>
      <c r="I63" s="122"/>
    </row>
    <row r="64" spans="2:27" x14ac:dyDescent="0.25">
      <c r="B64" s="121"/>
      <c r="C64" s="118" t="s">
        <v>271</v>
      </c>
      <c r="D64" s="121"/>
      <c r="E64" s="121"/>
      <c r="F64" s="121"/>
      <c r="G64" s="121"/>
      <c r="H64" s="121"/>
      <c r="I64" s="122"/>
    </row>
    <row r="65" spans="2:21" x14ac:dyDescent="0.25">
      <c r="B65" s="121"/>
      <c r="C65" s="118" t="s">
        <v>272</v>
      </c>
      <c r="D65" s="121"/>
      <c r="E65" s="121"/>
      <c r="F65" s="121"/>
      <c r="G65" s="121"/>
      <c r="H65" s="121"/>
      <c r="I65" s="122"/>
    </row>
    <row r="66" spans="2:21" x14ac:dyDescent="0.25">
      <c r="C66" s="118" t="s">
        <v>283</v>
      </c>
      <c r="I66" s="23"/>
      <c r="J66" s="23"/>
      <c r="K66" s="23"/>
      <c r="L66" s="23"/>
      <c r="M66" s="23"/>
      <c r="N66" s="23"/>
      <c r="O66" s="23"/>
      <c r="P66" s="23"/>
      <c r="Q66" s="23"/>
      <c r="R66" s="23"/>
      <c r="S66" s="23"/>
      <c r="T66" s="23"/>
      <c r="U66" s="273"/>
    </row>
    <row r="67" spans="2:21" ht="22.8" x14ac:dyDescent="0.25">
      <c r="C67" s="118" t="s">
        <v>284</v>
      </c>
      <c r="I67" s="23"/>
      <c r="J67" s="23"/>
      <c r="K67" s="23"/>
      <c r="L67" s="23"/>
      <c r="M67" s="23"/>
      <c r="N67" s="23"/>
      <c r="O67" s="23"/>
      <c r="P67" s="23"/>
      <c r="Q67" s="23"/>
      <c r="R67" s="23"/>
      <c r="S67" s="23"/>
      <c r="T67" s="23"/>
      <c r="U67" s="273"/>
    </row>
    <row r="68" spans="2:21" x14ac:dyDescent="0.25">
      <c r="B68" s="5"/>
      <c r="C68" s="203"/>
      <c r="D68" s="5"/>
      <c r="E68" s="5"/>
      <c r="F68" s="5"/>
      <c r="G68" s="5"/>
      <c r="H68" s="5"/>
      <c r="I68" s="23"/>
      <c r="J68" s="23"/>
      <c r="K68" s="23"/>
      <c r="L68" s="23"/>
      <c r="M68" s="23"/>
      <c r="N68" s="23"/>
      <c r="O68" s="23"/>
      <c r="P68" s="23"/>
      <c r="Q68" s="23"/>
      <c r="R68" s="23"/>
      <c r="S68" s="23"/>
      <c r="T68" s="23"/>
      <c r="U68" s="273"/>
    </row>
    <row r="69" spans="2:21" x14ac:dyDescent="0.25">
      <c r="B69" s="5"/>
      <c r="C69" s="204"/>
      <c r="D69" s="5"/>
      <c r="E69" s="5"/>
      <c r="F69" s="5"/>
      <c r="G69" s="5"/>
      <c r="H69" s="5"/>
      <c r="I69" s="23"/>
      <c r="J69" s="23"/>
      <c r="K69" s="23"/>
      <c r="L69" s="23"/>
      <c r="M69" s="23"/>
      <c r="N69" s="23"/>
      <c r="O69" s="23"/>
      <c r="P69" s="23"/>
      <c r="Q69" s="23"/>
      <c r="R69" s="23"/>
      <c r="S69" s="23"/>
      <c r="T69" s="23"/>
      <c r="U69" s="273"/>
    </row>
    <row r="70" spans="2:21" x14ac:dyDescent="0.25">
      <c r="B70" s="5"/>
      <c r="C70" s="204"/>
      <c r="D70" s="5"/>
      <c r="E70" s="5"/>
      <c r="F70" s="5"/>
      <c r="G70" s="5"/>
      <c r="H70" s="5"/>
      <c r="I70" s="23"/>
      <c r="J70" s="23"/>
      <c r="K70" s="23"/>
      <c r="L70" s="23"/>
      <c r="M70" s="23"/>
      <c r="N70" s="23"/>
      <c r="O70" s="23"/>
      <c r="P70" s="23"/>
      <c r="Q70" s="23"/>
      <c r="R70" s="23"/>
      <c r="S70" s="23"/>
      <c r="T70" s="23"/>
      <c r="U70" s="273"/>
    </row>
    <row r="71" spans="2:21" x14ac:dyDescent="0.25">
      <c r="B71" s="5"/>
      <c r="C71" s="205"/>
      <c r="D71" s="5"/>
      <c r="E71" s="5"/>
      <c r="F71" s="5"/>
      <c r="G71" s="5"/>
      <c r="H71" s="5"/>
      <c r="I71" s="23"/>
      <c r="J71" s="23"/>
      <c r="K71" s="23"/>
      <c r="L71" s="23"/>
      <c r="M71" s="23"/>
      <c r="N71" s="23"/>
      <c r="O71" s="23"/>
      <c r="P71" s="23"/>
      <c r="Q71" s="23"/>
      <c r="R71" s="23"/>
      <c r="S71" s="23"/>
      <c r="T71" s="23"/>
      <c r="U71" s="273"/>
    </row>
    <row r="72" spans="2:21" x14ac:dyDescent="0.25">
      <c r="B72" s="5"/>
      <c r="C72" s="1"/>
      <c r="D72" s="5"/>
      <c r="E72" s="5"/>
      <c r="F72" s="5"/>
      <c r="G72" s="5"/>
      <c r="H72" s="5"/>
      <c r="I72" s="23"/>
      <c r="J72" s="23"/>
      <c r="K72" s="23"/>
      <c r="L72" s="23"/>
      <c r="M72" s="23"/>
      <c r="N72" s="23"/>
      <c r="O72" s="23"/>
      <c r="P72" s="23"/>
      <c r="Q72" s="23"/>
      <c r="R72" s="23"/>
      <c r="S72" s="23"/>
      <c r="T72" s="23"/>
      <c r="U72" s="273"/>
    </row>
    <row r="73" spans="2:21" x14ac:dyDescent="0.25">
      <c r="B73" s="5"/>
      <c r="C73" s="1"/>
      <c r="D73" s="5"/>
      <c r="E73" s="5"/>
      <c r="F73" s="5"/>
      <c r="G73" s="5"/>
      <c r="H73" s="5"/>
      <c r="I73" s="23"/>
      <c r="J73" s="23"/>
      <c r="K73" s="23"/>
      <c r="L73" s="23"/>
      <c r="M73" s="23"/>
      <c r="N73" s="23"/>
      <c r="O73" s="23"/>
      <c r="P73" s="23"/>
      <c r="Q73" s="23"/>
      <c r="R73" s="23"/>
      <c r="S73" s="23"/>
      <c r="T73" s="23"/>
      <c r="U73" s="273"/>
    </row>
    <row r="74" spans="2:21" x14ac:dyDescent="0.25">
      <c r="B74" s="5"/>
      <c r="C74" s="1"/>
      <c r="D74" s="5"/>
      <c r="E74" s="5"/>
      <c r="F74" s="5"/>
      <c r="G74" s="5"/>
      <c r="H74" s="5"/>
      <c r="I74" s="23"/>
      <c r="J74" s="23"/>
      <c r="K74" s="23"/>
      <c r="L74" s="23"/>
      <c r="M74" s="23"/>
      <c r="N74" s="23"/>
      <c r="O74" s="23"/>
      <c r="P74" s="23"/>
      <c r="Q74" s="23"/>
      <c r="R74" s="23"/>
      <c r="S74" s="23"/>
      <c r="T74" s="23"/>
      <c r="U74" s="273"/>
    </row>
    <row r="75" spans="2:21" x14ac:dyDescent="0.25">
      <c r="I75" s="23"/>
    </row>
  </sheetData>
  <autoFilter ref="C5:U59" xr:uid="{22459EE0-343F-4A9B-94DB-C5195EED2FBD}"/>
  <mergeCells count="2">
    <mergeCell ref="N4:Q4"/>
    <mergeCell ref="R4:T4"/>
  </mergeCells>
  <pageMargins left="1.1811023622047245" right="0.47244094488188981" top="0.98425196850393704" bottom="0.98425196850393704" header="0.31496062992125984" footer="0.31496062992125984"/>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Investeeringud, 2022 objektid</vt:lpstr>
      <vt:lpstr>Investeeringud, uued objektid</vt:lpstr>
      <vt:lpstr>' Investeeringud, 2022 objektid'!Print_Titles</vt:lpstr>
      <vt:lpstr>'Investeeringud, uued objektid'!Print_Titles</vt:lpstr>
    </vt:vector>
  </TitlesOfParts>
  <Company>Tallinna Linnakantselei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Maarja Valler</cp:lastModifiedBy>
  <cp:lastPrinted>2018-12-17T16:00:23Z</cp:lastPrinted>
  <dcterms:created xsi:type="dcterms:W3CDTF">2011-11-17T06:19:29Z</dcterms:created>
  <dcterms:modified xsi:type="dcterms:W3CDTF">2022-06-30T07:56:11Z</dcterms:modified>
</cp:coreProperties>
</file>