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tsteenistus\EELARVE OSAKOND\2023\Vormid ja koostamise tingimused\KODULEHELE\"/>
    </mc:Choice>
  </mc:AlternateContent>
  <xr:revisionPtr revIDLastSave="0" documentId="13_ncr:1_{8E23CE16-E8B9-4B02-BB32-8D5D12C16FE7}" xr6:coauthVersionLast="45" xr6:coauthVersionMax="47" xr10:uidLastSave="{00000000-0000-0000-0000-000000000000}"/>
  <bookViews>
    <workbookView xWindow="-108" yWindow="-108" windowWidth="30936" windowHeight="16896" tabRatio="796" firstSheet="1" activeTab="1" xr2:uid="{00000000-000D-0000-FFFF-FFFF00000000}"/>
  </bookViews>
  <sheets>
    <sheet name="list1" sheetId="34" state="hidden" r:id="rId1"/>
    <sheet name="Koondvorm (1)" sheetId="24" r:id="rId2"/>
    <sheet name="LK tulud (2)" sheetId="7" r:id="rId3"/>
    <sheet name="Sheet2" sheetId="15" state="hidden" r:id="rId4"/>
    <sheet name="Omatulud (3)" sheetId="4" r:id="rId5"/>
    <sheet name="Toetused (5)" sheetId="12" r:id="rId6"/>
    <sheet name="Piirsumma" sheetId="27" r:id="rId7"/>
    <sheet name="Piirsumma täpsustus" sheetId="28" r:id="rId8"/>
    <sheet name="LK suurendus" sheetId="31" r:id="rId9"/>
    <sheet name="Kulud (6)" sheetId="17" r:id="rId10"/>
    <sheet name="välisprojektid (7)" sheetId="26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9" hidden="1">'Kulud (6)'!$A$4:$AJ$90</definedName>
    <definedName name="_xlnm._FilterDatabase" localSheetId="8" hidden="1">'LK suurendus'!$A$3:$I$7</definedName>
    <definedName name="_xlnm._FilterDatabase" localSheetId="4" hidden="1">'Omatulud (3)'!$A$5:$I$13</definedName>
    <definedName name="_xlnm._FilterDatabase" localSheetId="5" hidden="1">'Toetused (5)'!$A$4:$B$92</definedName>
    <definedName name="a" localSheetId="1">'[1]8 KULUD'!#REF!</definedName>
    <definedName name="a" localSheetId="0">'[1]8 KULUD'!#REF!</definedName>
    <definedName name="a" localSheetId="6">'[1]8 KULUD'!#REF!</definedName>
    <definedName name="a" localSheetId="10">'[1]8 KULUD'!#REF!</definedName>
    <definedName name="a">'[1]8 KULUD'!#REF!</definedName>
    <definedName name="ea" localSheetId="0">OFFSET(job_levels_range,0,0,COUNTA(job_levels_range),1)</definedName>
    <definedName name="ea" localSheetId="10">OFFSET(job_levels_range,0,0,COUNTA(job_levels_range),1)</definedName>
    <definedName name="ea">OFFSET(job_levels_range,0,0,COUNTA(job_levels_range),1)</definedName>
    <definedName name="eaa" localSheetId="0">OFFSET(job_levels_range,0,0,COUNTA(job_levels_range),1)</definedName>
    <definedName name="eaa">OFFSET(job_levels_range,0,0,COUNTA(job_levels_range),1)</definedName>
    <definedName name="ee" localSheetId="0">OFFSET(job_levels_range,0,0,COUNTA(job_levels_range),1)</definedName>
    <definedName name="ee" localSheetId="10">OFFSET(job_levels_range,0,0,COUNTA(job_levels_range),1)</definedName>
    <definedName name="ee">OFFSET(job_levels_range,0,0,COUNTA(job_levels_range),1)</definedName>
    <definedName name="gg" localSheetId="0">OFFSET(job_names_range,0,0,COUNTA(job_names_range),1)</definedName>
    <definedName name="gg">OFFSET(job_names_range,0,0,COUNTA(job_names_range),1)</definedName>
    <definedName name="job_levels" localSheetId="1">OFFSET(job_levels_range,0,0,COUNTA(job_levels_range),1)</definedName>
    <definedName name="job_levels" localSheetId="0">OFFSET(job_levels_range,0,0,COUNTA(job_levels_range),1)</definedName>
    <definedName name="job_levels" localSheetId="6">OFFSET(job_levels_range,0,0,COUNTA(job_levels_range),1)</definedName>
    <definedName name="job_levels" localSheetId="10">OFFSET(job_levels_range,0,0,COUNTA(job_levels_range),1)</definedName>
    <definedName name="job_levels">OFFSET(job_levels_range,0,0,COUNTA(job_levels_range),1)</definedName>
    <definedName name="job_names" localSheetId="1">OFFSET(job_names_range,0,0,COUNTA(job_names_range),1)</definedName>
    <definedName name="job_names" localSheetId="0">OFFSET(job_names_range,0,0,COUNTA(job_names_range),1)</definedName>
    <definedName name="job_names" localSheetId="6">OFFSET(job_names_range,0,0,COUNTA(job_names_range),1)</definedName>
    <definedName name="job_names" localSheetId="10">OFFSET(job_names_range,0,0,COUNTA(job_names_range),1)</definedName>
    <definedName name="job_names">OFFSET(job_names_range,0,0,COUNTA(job_names_range),1)</definedName>
    <definedName name="joblevels" localSheetId="1">'[2]Job Names'!$H$9:$H$35</definedName>
    <definedName name="joblevels" localSheetId="6">'[2]Job Names'!$H$9:$H$35</definedName>
    <definedName name="joblevels">'[2]Job Names'!$H$9:$H$35</definedName>
    <definedName name="jobnames">#N/A</definedName>
    <definedName name="language_list" localSheetId="1">'[2]Job Names'!$E$2:$E$5</definedName>
    <definedName name="language_list" localSheetId="6">'[2]Job Names'!$E$2:$E$5</definedName>
    <definedName name="language_list">'[2]Job Names'!$E$2:$E$5</definedName>
    <definedName name="LINNAMAASTIK">list1!$H$1:$H$5</definedName>
    <definedName name="Maalist" localSheetId="1">[2]Maakonnad!$A$1:$A$15</definedName>
    <definedName name="Maalist" localSheetId="6">[2]Maakonnad!$A$1:$A$15</definedName>
    <definedName name="Maalist">[2]Maakonnad!$A$1:$A$15</definedName>
    <definedName name="nm" localSheetId="0">OFFSET(job_names_range,0,0,COUNTA(job_names_range),1)</definedName>
    <definedName name="nm" localSheetId="10">OFFSET(job_names_range,0,0,COUNTA(job_names_range),1)</definedName>
    <definedName name="nm">OFFSET(job_names_range,0,0,COUNTA(job_names_range),1)</definedName>
    <definedName name="nn" localSheetId="0">OFFSET(job_names_range,0,0,COUNTA(job_names_range),1)</definedName>
    <definedName name="nn" localSheetId="10">OFFSET(job_names_range,0,0,COUNTA(job_names_range),1)</definedName>
    <definedName name="nn">OFFSET(job_names_range,0,0,COUNTA(job_names_range),1)</definedName>
    <definedName name="ppp" localSheetId="0">OFFSET(job_levels_range,0,0,COUNTA(job_levels_range),1)</definedName>
    <definedName name="ppp">OFFSET(job_levels_range,0,0,COUNTA(job_levels_range),1)</definedName>
    <definedName name="_xlnm.Print_Titles" localSheetId="1">'Koondvorm (1)'!#REF!</definedName>
    <definedName name="_xlnm.Print_Titles" localSheetId="8">'LK suurendus'!$3:$3</definedName>
    <definedName name="zJob" localSheetId="1">'[2]Job Families'!$D$1:$D$481</definedName>
    <definedName name="zJob" localSheetId="6">'[2]Job Families'!$D$1:$D$481</definedName>
    <definedName name="zJob">'[2]Job Families'!$D$1:$D$481</definedName>
    <definedName name="zLev" localSheetId="1">'[2]Job Families'!$E$1:$E$481</definedName>
    <definedName name="zLev" localSheetId="6">'[2]Job Families'!$E$1:$E$481</definedName>
    <definedName name="zLev">'[2]Job Families'!$E$1:$E$481</definedName>
    <definedName name="zPnt" localSheetId="1">'[2]Job Families'!$F$1:$F$481</definedName>
    <definedName name="zPnt" localSheetId="6">'[2]Job Families'!$F$1:$F$481</definedName>
    <definedName name="zPnt">'[2]Job Families'!$F$1:$F$481</definedName>
    <definedName name="zPntH" localSheetId="1">'[2]Job Families'!$H$1:$H$481</definedName>
    <definedName name="zPntH" localSheetId="6">'[2]Job Families'!$H$1:$H$481</definedName>
    <definedName name="zPntH">'[2]Job Families'!$H$1:$H$481</definedName>
    <definedName name="zPntL" localSheetId="1">'[2]Job Families'!$G$1:$G$481</definedName>
    <definedName name="zPntL" localSheetId="6">'[2]Job Families'!$G$1:$G$481</definedName>
    <definedName name="zPntL">'[2]Job Families'!$G$1:$G$481</definedName>
    <definedName name="test" localSheetId="1">OFFSET(job_levels_range,0,0,COUNTA(job_levels_range),1)</definedName>
    <definedName name="test" localSheetId="0">OFFSET(job_levels_range,0,0,COUNTA(job_levels_range),1)</definedName>
    <definedName name="test" localSheetId="6">OFFSET(job_levels_range,0,0,COUNTA(job_levels_range),1)</definedName>
    <definedName name="test" localSheetId="10">OFFSET(job_levels_range,0,0,COUNTA(job_levels_range),1)</definedName>
    <definedName name="test">OFFSET(job_levels_range,0,0,COUNTA(job_levels_range),1)</definedName>
    <definedName name="test1" localSheetId="0">OFFSET(job_levels_range,0,0,COUNTA(job_levels_range),1)</definedName>
    <definedName name="test1" localSheetId="10">OFFSET(job_levels_range,0,0,COUNTA(job_levels_range),1)</definedName>
    <definedName name="test1">OFFSET(job_levels_range,0,0,COUNTA(job_levels_range),1)</definedName>
    <definedName name="v">list1!$A$1:$A$16</definedName>
    <definedName name="V1_ETTEVÕTLUSKESKKOND">list1!$B$1:$B$5</definedName>
    <definedName name="V10_SOTSIAALHOOLEKANNE">list1!$K$1:$K$5</definedName>
    <definedName name="V11_SPORT">list1!$L$1:$L$4</definedName>
    <definedName name="V12_TEHNOVÕRGUD">list1!$M$1:$M$5</definedName>
    <definedName name="V13_TERVISHOID">list1!$N$1:$N$4</definedName>
    <definedName name="V14_JUHTIMINE">list1!$O$1:$O$8</definedName>
    <definedName name="V2_HARIDUS">list1!$C$1:$C$7</definedName>
    <definedName name="V3_KESKKONNAHOID">list1!$D$1:$D$6</definedName>
    <definedName name="V4_KORRAKAITSE">list1!$E$1:$E$3</definedName>
    <definedName name="V5_KULTUUR">list1!$F$1:$F$6</definedName>
    <definedName name="V6_LIIKUVUS">list1!$G$1:$G$7</definedName>
    <definedName name="V7_LINNAMAASTIK">list1!$H$1:$H$5</definedName>
    <definedName name="V8_LINNAPLANEERIMINE">list1!$I$1:$I$7</definedName>
    <definedName name="V9_LINNAVARA">list1!$J$1:$J$6</definedName>
    <definedName name="Valdkond">list1!$A$1:$A$14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90" i="17" l="1"/>
  <c r="AG89" i="17"/>
  <c r="AG88" i="17"/>
  <c r="AG87" i="17"/>
  <c r="AG86" i="17"/>
  <c r="AG85" i="17"/>
  <c r="AG84" i="17"/>
  <c r="AG83" i="17"/>
  <c r="AG82" i="17"/>
  <c r="AG81" i="17"/>
  <c r="AG80" i="17"/>
  <c r="AG79" i="17"/>
  <c r="AG78" i="17"/>
  <c r="AG77" i="17"/>
  <c r="AG76" i="17"/>
  <c r="AG75" i="17"/>
  <c r="AG74" i="17"/>
  <c r="AG73" i="17"/>
  <c r="AG72" i="17"/>
  <c r="AG71" i="17"/>
  <c r="AG70" i="17"/>
  <c r="AG69" i="17"/>
  <c r="AG68" i="17"/>
  <c r="AG67" i="17"/>
  <c r="AG66" i="17"/>
  <c r="AG65" i="17"/>
  <c r="AG64" i="17"/>
  <c r="AG63" i="17"/>
  <c r="AG62" i="17"/>
  <c r="AG61" i="17"/>
  <c r="AG60" i="17"/>
  <c r="AG59" i="17"/>
  <c r="AG58" i="17"/>
  <c r="AG57" i="17"/>
  <c r="AG56" i="17"/>
  <c r="AG55" i="17"/>
  <c r="AG54" i="17"/>
  <c r="AG53" i="17"/>
  <c r="AG52" i="17"/>
  <c r="AG51" i="17"/>
  <c r="AG50" i="17"/>
  <c r="AG49" i="17"/>
  <c r="AG48" i="17"/>
  <c r="AG47" i="17"/>
  <c r="AG46" i="17"/>
  <c r="AG45" i="17"/>
  <c r="AG44" i="17"/>
  <c r="AG43" i="17"/>
  <c r="AG42" i="17"/>
  <c r="AG41" i="17"/>
  <c r="AG40" i="17"/>
  <c r="AG39" i="17"/>
  <c r="AG38" i="17"/>
  <c r="AG37" i="17"/>
  <c r="AG36" i="17"/>
  <c r="AG35" i="17"/>
  <c r="AG34" i="17"/>
  <c r="AG33" i="17"/>
  <c r="AG32" i="17"/>
  <c r="AG31" i="17"/>
  <c r="AG30" i="17"/>
  <c r="AG29" i="17"/>
  <c r="AG28" i="17"/>
  <c r="AG27" i="17"/>
  <c r="AG26" i="17"/>
  <c r="AG25" i="17"/>
  <c r="AG24" i="17"/>
  <c r="AG23" i="17"/>
  <c r="AG22" i="17"/>
  <c r="AG21" i="17"/>
  <c r="AG20" i="17"/>
  <c r="AG19" i="17"/>
  <c r="AG18" i="17"/>
  <c r="AG17" i="17"/>
  <c r="AG16" i="17"/>
  <c r="AG15" i="17"/>
  <c r="AG14" i="17"/>
  <c r="AG13" i="17"/>
  <c r="AG12" i="17"/>
  <c r="AG11" i="17"/>
  <c r="AG10" i="17"/>
  <c r="AG9" i="17"/>
  <c r="AG8" i="17"/>
  <c r="AG7" i="17"/>
  <c r="AG6" i="17"/>
  <c r="AG5" i="17"/>
  <c r="H4" i="31" l="1"/>
  <c r="G4" i="31"/>
  <c r="J90" i="17"/>
  <c r="AD90" i="17" s="1"/>
  <c r="J89" i="17"/>
  <c r="AD89" i="17" s="1"/>
  <c r="J88" i="17"/>
  <c r="AD88" i="17" s="1"/>
  <c r="J87" i="17"/>
  <c r="AD87" i="17" s="1"/>
  <c r="J86" i="17"/>
  <c r="AD86" i="17" s="1"/>
  <c r="J85" i="17"/>
  <c r="AD85" i="17" s="1"/>
  <c r="J83" i="17"/>
  <c r="AD83" i="17" s="1"/>
  <c r="J82" i="17"/>
  <c r="AD82" i="17" s="1"/>
  <c r="J80" i="17"/>
  <c r="AD80" i="17" s="1"/>
  <c r="J79" i="17"/>
  <c r="AD79" i="17" s="1"/>
  <c r="J78" i="17"/>
  <c r="AD78" i="17" s="1"/>
  <c r="J77" i="17"/>
  <c r="AD77" i="17" s="1"/>
  <c r="J76" i="17"/>
  <c r="AD76" i="17" s="1"/>
  <c r="J75" i="17"/>
  <c r="AD75" i="17" s="1"/>
  <c r="J74" i="17"/>
  <c r="AD74" i="17" s="1"/>
  <c r="J73" i="17"/>
  <c r="AD73" i="17" s="1"/>
  <c r="J72" i="17"/>
  <c r="AD72" i="17" s="1"/>
  <c r="J71" i="17"/>
  <c r="AD71" i="17" s="1"/>
  <c r="J70" i="17"/>
  <c r="AD70" i="17" s="1"/>
  <c r="J69" i="17"/>
  <c r="AD69" i="17" s="1"/>
  <c r="J68" i="17"/>
  <c r="AD68" i="17" s="1"/>
  <c r="J67" i="17"/>
  <c r="AD67" i="17" s="1"/>
  <c r="J66" i="17"/>
  <c r="AD66" i="17" s="1"/>
  <c r="J65" i="17"/>
  <c r="AD65" i="17" s="1"/>
  <c r="J64" i="17"/>
  <c r="AD64" i="17" s="1"/>
  <c r="J63" i="17"/>
  <c r="AD63" i="17" s="1"/>
  <c r="J62" i="17"/>
  <c r="AD62" i="17" s="1"/>
  <c r="J61" i="17"/>
  <c r="AD61" i="17" s="1"/>
  <c r="J60" i="17"/>
  <c r="AD60" i="17" s="1"/>
  <c r="J59" i="17"/>
  <c r="AD59" i="17" s="1"/>
  <c r="J58" i="17"/>
  <c r="AD58" i="17" s="1"/>
  <c r="J57" i="17"/>
  <c r="AD57" i="17" s="1"/>
  <c r="J56" i="17"/>
  <c r="AD56" i="17" s="1"/>
  <c r="J54" i="17"/>
  <c r="AD54" i="17" s="1"/>
  <c r="J51" i="17"/>
  <c r="AD51" i="17" s="1"/>
  <c r="J50" i="17"/>
  <c r="AD50" i="17" s="1"/>
  <c r="J49" i="17"/>
  <c r="AD49" i="17" s="1"/>
  <c r="J48" i="17"/>
  <c r="AD48" i="17" s="1"/>
  <c r="J47" i="17"/>
  <c r="AD47" i="17" s="1"/>
  <c r="J45" i="17"/>
  <c r="AD45" i="17" s="1"/>
  <c r="J44" i="17"/>
  <c r="AD44" i="17" s="1"/>
  <c r="J43" i="17"/>
  <c r="AD43" i="17" s="1"/>
  <c r="J42" i="17"/>
  <c r="AD42" i="17" s="1"/>
  <c r="J41" i="17"/>
  <c r="AD41" i="17" s="1"/>
  <c r="J40" i="17"/>
  <c r="AD40" i="17" s="1"/>
  <c r="J39" i="17"/>
  <c r="AD39" i="17" s="1"/>
  <c r="J37" i="17"/>
  <c r="AD37" i="17" s="1"/>
  <c r="J34" i="17"/>
  <c r="AD34" i="17" s="1"/>
  <c r="J32" i="17"/>
  <c r="AD32" i="17" s="1"/>
  <c r="J31" i="17"/>
  <c r="AD31" i="17" s="1"/>
  <c r="J30" i="17"/>
  <c r="AD30" i="17" s="1"/>
  <c r="J29" i="17"/>
  <c r="AD29" i="17" s="1"/>
  <c r="J28" i="17"/>
  <c r="AD28" i="17" s="1"/>
  <c r="J24" i="17"/>
  <c r="AD24" i="17" s="1"/>
  <c r="J23" i="17"/>
  <c r="AD23" i="17" s="1"/>
  <c r="J22" i="17"/>
  <c r="AD22" i="17" s="1"/>
  <c r="J21" i="17"/>
  <c r="AD21" i="17" s="1"/>
  <c r="J20" i="17"/>
  <c r="AD20" i="17" s="1"/>
  <c r="J19" i="17"/>
  <c r="AD19" i="17" s="1"/>
  <c r="J17" i="17"/>
  <c r="AD17" i="17" s="1"/>
  <c r="J14" i="17"/>
  <c r="AD14" i="17" s="1"/>
  <c r="J8" i="17"/>
  <c r="AD8" i="17" s="1"/>
  <c r="J6" i="17"/>
  <c r="AD6" i="17" s="1"/>
  <c r="J5" i="17"/>
  <c r="AD5" i="17" s="1"/>
  <c r="X90" i="17" l="1"/>
  <c r="N90" i="17"/>
  <c r="AE90" i="17"/>
  <c r="AE89" i="17"/>
  <c r="X89" i="17"/>
  <c r="N89" i="17"/>
  <c r="X88" i="17"/>
  <c r="N88" i="17"/>
  <c r="AE87" i="17"/>
  <c r="X87" i="17"/>
  <c r="N87" i="17"/>
  <c r="X86" i="17"/>
  <c r="N86" i="17"/>
  <c r="AE85" i="17"/>
  <c r="X85" i="17"/>
  <c r="N85" i="17"/>
  <c r="AA84" i="17"/>
  <c r="AB84" i="17" s="1"/>
  <c r="H84" i="17"/>
  <c r="J84" i="17" s="1"/>
  <c r="AD84" i="17" s="1"/>
  <c r="AE83" i="17"/>
  <c r="AB83" i="17"/>
  <c r="X82" i="17"/>
  <c r="AB82" i="17" s="1"/>
  <c r="V81" i="17"/>
  <c r="H81" i="17"/>
  <c r="J81" i="17" s="1"/>
  <c r="AD81" i="17" s="1"/>
  <c r="AB80" i="17"/>
  <c r="AE80" i="17"/>
  <c r="X79" i="17"/>
  <c r="N79" i="17"/>
  <c r="X78" i="17"/>
  <c r="N78" i="17"/>
  <c r="AE78" i="17"/>
  <c r="AA77" i="17"/>
  <c r="AA13" i="17" s="1"/>
  <c r="X77" i="17"/>
  <c r="N77" i="17"/>
  <c r="AA76" i="17"/>
  <c r="X76" i="17"/>
  <c r="N76" i="17"/>
  <c r="X75" i="17"/>
  <c r="N75" i="17"/>
  <c r="AE75" i="17"/>
  <c r="AB74" i="17"/>
  <c r="AB73" i="17"/>
  <c r="AE73" i="17"/>
  <c r="AB72" i="17"/>
  <c r="AB71" i="17"/>
  <c r="AE71" i="17"/>
  <c r="AB70" i="17"/>
  <c r="AB69" i="17"/>
  <c r="AE69" i="17"/>
  <c r="AB68" i="17"/>
  <c r="AB67" i="17"/>
  <c r="AB66" i="17"/>
  <c r="AE66" i="17"/>
  <c r="N65" i="17"/>
  <c r="AB65" i="17" s="1"/>
  <c r="N64" i="17"/>
  <c r="AB64" i="17" s="1"/>
  <c r="AE64" i="17"/>
  <c r="N63" i="17"/>
  <c r="AB63" i="17" s="1"/>
  <c r="AA62" i="17"/>
  <c r="N62" i="17"/>
  <c r="X61" i="17"/>
  <c r="N61" i="17"/>
  <c r="AE61" i="17"/>
  <c r="X60" i="17"/>
  <c r="N60" i="17"/>
  <c r="X59" i="17"/>
  <c r="N59" i="17"/>
  <c r="AE59" i="17"/>
  <c r="X58" i="17"/>
  <c r="N58" i="17"/>
  <c r="X57" i="17"/>
  <c r="N57" i="17"/>
  <c r="X56" i="17"/>
  <c r="N56" i="17"/>
  <c r="AE56" i="17"/>
  <c r="X55" i="17"/>
  <c r="K55" i="17"/>
  <c r="N55" i="17" s="1"/>
  <c r="F55" i="17"/>
  <c r="X54" i="17"/>
  <c r="N54" i="17"/>
  <c r="X53" i="17"/>
  <c r="K53" i="17"/>
  <c r="N53" i="17" s="1"/>
  <c r="F53" i="17"/>
  <c r="J53" i="17" s="1"/>
  <c r="AD53" i="17" s="1"/>
  <c r="W52" i="17"/>
  <c r="W33" i="17" s="1"/>
  <c r="W7" i="17" s="1"/>
  <c r="W12" i="17" s="1"/>
  <c r="V52" i="17"/>
  <c r="H52" i="17"/>
  <c r="X51" i="17"/>
  <c r="N51" i="17"/>
  <c r="AE51" i="17"/>
  <c r="X50" i="17"/>
  <c r="N50" i="17"/>
  <c r="AE50" i="17"/>
  <c r="X49" i="17"/>
  <c r="N49" i="17"/>
  <c r="AE49" i="17"/>
  <c r="X48" i="17"/>
  <c r="N48" i="17"/>
  <c r="X47" i="17"/>
  <c r="N47" i="17"/>
  <c r="Y46" i="17"/>
  <c r="X46" i="17"/>
  <c r="L46" i="17"/>
  <c r="K46" i="17"/>
  <c r="H46" i="17"/>
  <c r="F46" i="17"/>
  <c r="X45" i="17"/>
  <c r="N45" i="17"/>
  <c r="AE45" i="17"/>
  <c r="X44" i="17"/>
  <c r="N44" i="17"/>
  <c r="AE44" i="17"/>
  <c r="AE43" i="17"/>
  <c r="X43" i="17"/>
  <c r="N43" i="17"/>
  <c r="X42" i="17"/>
  <c r="N42" i="17"/>
  <c r="X41" i="17"/>
  <c r="N41" i="17"/>
  <c r="AE41" i="17"/>
  <c r="X40" i="17"/>
  <c r="N40" i="17"/>
  <c r="X39" i="17"/>
  <c r="N39" i="17"/>
  <c r="Y38" i="17"/>
  <c r="X38" i="17"/>
  <c r="L38" i="17"/>
  <c r="K38" i="17"/>
  <c r="F38" i="17"/>
  <c r="J38" i="17" s="1"/>
  <c r="AD38" i="17" s="1"/>
  <c r="X37" i="17"/>
  <c r="N37" i="17"/>
  <c r="AE37" i="17"/>
  <c r="R36" i="17"/>
  <c r="X36" i="17" s="1"/>
  <c r="K36" i="17"/>
  <c r="N36" i="17" s="1"/>
  <c r="F36" i="17"/>
  <c r="J36" i="17" s="1"/>
  <c r="AD36" i="17" s="1"/>
  <c r="R35" i="17"/>
  <c r="X35" i="17" s="1"/>
  <c r="K35" i="17"/>
  <c r="N35" i="17" s="1"/>
  <c r="F35" i="17"/>
  <c r="J35" i="17" s="1"/>
  <c r="AD35" i="17" s="1"/>
  <c r="X34" i="17"/>
  <c r="N34" i="17"/>
  <c r="AE34" i="17"/>
  <c r="M33" i="17"/>
  <c r="I33" i="17"/>
  <c r="I7" i="17" s="1"/>
  <c r="I12" i="17" s="1"/>
  <c r="G33" i="17"/>
  <c r="G7" i="17" s="1"/>
  <c r="G12" i="17" s="1"/>
  <c r="AE32" i="17"/>
  <c r="X32" i="17"/>
  <c r="N32" i="17"/>
  <c r="X31" i="17"/>
  <c r="N31" i="17"/>
  <c r="X30" i="17"/>
  <c r="N30" i="17"/>
  <c r="AE30" i="17"/>
  <c r="X29" i="17"/>
  <c r="N29" i="17"/>
  <c r="AE29" i="17"/>
  <c r="X28" i="17"/>
  <c r="N28" i="17"/>
  <c r="AE28" i="17"/>
  <c r="X27" i="17"/>
  <c r="K27" i="17"/>
  <c r="N27" i="17" s="1"/>
  <c r="F27" i="17"/>
  <c r="J27" i="17" s="1"/>
  <c r="AD27" i="17" s="1"/>
  <c r="X26" i="17"/>
  <c r="K26" i="17"/>
  <c r="N26" i="17" s="1"/>
  <c r="F26" i="17"/>
  <c r="V25" i="17"/>
  <c r="X25" i="17" s="1"/>
  <c r="H25" i="17"/>
  <c r="AE24" i="17"/>
  <c r="X24" i="17"/>
  <c r="N24" i="17"/>
  <c r="X23" i="17"/>
  <c r="N23" i="17"/>
  <c r="X22" i="17"/>
  <c r="N22" i="17"/>
  <c r="AE22" i="17"/>
  <c r="X21" i="17"/>
  <c r="N21" i="17"/>
  <c r="AE21" i="17"/>
  <c r="X20" i="17"/>
  <c r="N20" i="17"/>
  <c r="X19" i="17"/>
  <c r="N19" i="17"/>
  <c r="AE19" i="17"/>
  <c r="X18" i="17"/>
  <c r="K18" i="17"/>
  <c r="N18" i="17" s="1"/>
  <c r="F18" i="17"/>
  <c r="J18" i="17" s="1"/>
  <c r="AD18" i="17" s="1"/>
  <c r="X17" i="17"/>
  <c r="N17" i="17"/>
  <c r="AE17" i="17"/>
  <c r="Y16" i="17"/>
  <c r="Y15" i="17" s="1"/>
  <c r="V16" i="17"/>
  <c r="M16" i="17"/>
  <c r="M15" i="17" s="1"/>
  <c r="L16" i="17"/>
  <c r="L15" i="17" s="1"/>
  <c r="H16" i="17"/>
  <c r="X14" i="17"/>
  <c r="N14" i="17"/>
  <c r="AE14" i="17"/>
  <c r="W13" i="17"/>
  <c r="V13" i="17"/>
  <c r="M13" i="17"/>
  <c r="L13" i="17"/>
  <c r="I13" i="17"/>
  <c r="H13" i="17"/>
  <c r="AA11" i="17"/>
  <c r="AA9" i="17" s="1"/>
  <c r="X11" i="17"/>
  <c r="K11" i="17"/>
  <c r="N11" i="17" s="1"/>
  <c r="F11" i="17"/>
  <c r="J11" i="17" s="1"/>
  <c r="AD11" i="17" s="1"/>
  <c r="Y10" i="17"/>
  <c r="X10" i="17"/>
  <c r="N10" i="17"/>
  <c r="F10" i="17"/>
  <c r="X8" i="17"/>
  <c r="N8" i="17"/>
  <c r="AE6" i="17"/>
  <c r="X6" i="17"/>
  <c r="N6" i="17"/>
  <c r="X5" i="17"/>
  <c r="N5" i="17"/>
  <c r="AE5" i="17"/>
  <c r="K52" i="17" l="1"/>
  <c r="N52" i="17" s="1"/>
  <c r="F13" i="17"/>
  <c r="J13" i="17" s="1"/>
  <c r="AD13" i="17" s="1"/>
  <c r="AB47" i="17"/>
  <c r="H15" i="17"/>
  <c r="K25" i="17"/>
  <c r="N25" i="17" s="1"/>
  <c r="AB89" i="17"/>
  <c r="AB5" i="17"/>
  <c r="AB55" i="17"/>
  <c r="AB60" i="17"/>
  <c r="AE60" i="17" s="1"/>
  <c r="K13" i="17"/>
  <c r="N13" i="17" s="1"/>
  <c r="AB41" i="17"/>
  <c r="AB43" i="17"/>
  <c r="AB44" i="17"/>
  <c r="AB85" i="17"/>
  <c r="AB88" i="17"/>
  <c r="AE88" i="17" s="1"/>
  <c r="AB6" i="17"/>
  <c r="AB30" i="17"/>
  <c r="AB32" i="17"/>
  <c r="AB40" i="17"/>
  <c r="AE40" i="17" s="1"/>
  <c r="AB59" i="17"/>
  <c r="AA81" i="17"/>
  <c r="AA33" i="17" s="1"/>
  <c r="AA7" i="17" s="1"/>
  <c r="F52" i="17"/>
  <c r="J52" i="17" s="1"/>
  <c r="AD52" i="17" s="1"/>
  <c r="J55" i="17"/>
  <c r="AD55" i="17" s="1"/>
  <c r="M7" i="17"/>
  <c r="M12" i="17" s="1"/>
  <c r="F25" i="17"/>
  <c r="J25" i="17" s="1"/>
  <c r="AD25" i="17" s="1"/>
  <c r="J26" i="17"/>
  <c r="AD26" i="17" s="1"/>
  <c r="R33" i="17"/>
  <c r="R7" i="17" s="1"/>
  <c r="R12" i="17" s="1"/>
  <c r="J46" i="17"/>
  <c r="AD46" i="17" s="1"/>
  <c r="AB79" i="17"/>
  <c r="AB86" i="17"/>
  <c r="AE86" i="17" s="1"/>
  <c r="AB23" i="17"/>
  <c r="H33" i="17"/>
  <c r="H7" i="17" s="1"/>
  <c r="H12" i="17" s="1"/>
  <c r="H9" i="17" s="1"/>
  <c r="Y33" i="17"/>
  <c r="AB51" i="17"/>
  <c r="AB53" i="17"/>
  <c r="AB58" i="17"/>
  <c r="AE58" i="17" s="1"/>
  <c r="AB77" i="17"/>
  <c r="AB24" i="17"/>
  <c r="AB25" i="17"/>
  <c r="AB90" i="17"/>
  <c r="AB29" i="17"/>
  <c r="AB21" i="17"/>
  <c r="AB34" i="17"/>
  <c r="AB87" i="17"/>
  <c r="AB26" i="17"/>
  <c r="AB27" i="17"/>
  <c r="AB45" i="17"/>
  <c r="AB49" i="17"/>
  <c r="AB54" i="17"/>
  <c r="AE54" i="17" s="1"/>
  <c r="AB19" i="17"/>
  <c r="J10" i="17"/>
  <c r="AD10" i="17" s="1"/>
  <c r="F33" i="17"/>
  <c r="AB11" i="17"/>
  <c r="AE84" i="17"/>
  <c r="K16" i="17"/>
  <c r="N16" i="17" s="1"/>
  <c r="Y7" i="17"/>
  <c r="AB28" i="17"/>
  <c r="AB36" i="17"/>
  <c r="AB39" i="17"/>
  <c r="AE39" i="17" s="1"/>
  <c r="AB42" i="17"/>
  <c r="AE42" i="17" s="1"/>
  <c r="AB48" i="17"/>
  <c r="AB50" i="17"/>
  <c r="X52" i="17"/>
  <c r="AB52" i="17" s="1"/>
  <c r="AB61" i="17"/>
  <c r="AB62" i="17"/>
  <c r="AE62" i="17" s="1"/>
  <c r="AB8" i="17"/>
  <c r="AE8" i="17" s="1"/>
  <c r="AB31" i="17"/>
  <c r="AE31" i="17" s="1"/>
  <c r="AE36" i="17"/>
  <c r="AB37" i="17"/>
  <c r="N46" i="17"/>
  <c r="AB46" i="17" s="1"/>
  <c r="AB56" i="17"/>
  <c r="AB57" i="17"/>
  <c r="AE57" i="17" s="1"/>
  <c r="AB75" i="17"/>
  <c r="AB76" i="17"/>
  <c r="AE76" i="17" s="1"/>
  <c r="Y9" i="17"/>
  <c r="G9" i="17"/>
  <c r="AE23" i="17"/>
  <c r="AE27" i="17"/>
  <c r="R13" i="17"/>
  <c r="X16" i="17"/>
  <c r="V15" i="17"/>
  <c r="AB17" i="17"/>
  <c r="AB18" i="17"/>
  <c r="AB20" i="17"/>
  <c r="AB22" i="17"/>
  <c r="N38" i="17"/>
  <c r="AB38" i="17" s="1"/>
  <c r="AE38" i="17" s="1"/>
  <c r="L33" i="17"/>
  <c r="L7" i="17" s="1"/>
  <c r="L12" i="17" s="1"/>
  <c r="AE47" i="17"/>
  <c r="AE48" i="17"/>
  <c r="AE67" i="17"/>
  <c r="AB78" i="17"/>
  <c r="AE82" i="17"/>
  <c r="I9" i="17"/>
  <c r="M9" i="17"/>
  <c r="W9" i="17"/>
  <c r="AB10" i="17"/>
  <c r="AE11" i="17"/>
  <c r="AE70" i="17"/>
  <c r="AB14" i="17"/>
  <c r="AE53" i="17"/>
  <c r="AE65" i="17"/>
  <c r="AE77" i="17"/>
  <c r="AE81" i="17"/>
  <c r="F16" i="17"/>
  <c r="J16" i="17" s="1"/>
  <c r="AD16" i="17" s="1"/>
  <c r="AE20" i="17"/>
  <c r="AB35" i="17"/>
  <c r="AE35" i="17" s="1"/>
  <c r="AE63" i="17"/>
  <c r="AE68" i="17"/>
  <c r="AE72" i="17"/>
  <c r="AE74" i="17"/>
  <c r="AE79" i="17"/>
  <c r="X81" i="17"/>
  <c r="AB81" i="17" s="1"/>
  <c r="V33" i="17"/>
  <c r="K33" i="17" l="1"/>
  <c r="K15" i="17"/>
  <c r="X33" i="17"/>
  <c r="AE25" i="17"/>
  <c r="R9" i="17"/>
  <c r="AE26" i="17"/>
  <c r="AE55" i="17"/>
  <c r="J33" i="17"/>
  <c r="AD33" i="17" s="1"/>
  <c r="AB16" i="17"/>
  <c r="AE52" i="17"/>
  <c r="L9" i="17"/>
  <c r="N33" i="17"/>
  <c r="AB33" i="17" s="1"/>
  <c r="K7" i="17"/>
  <c r="N15" i="17"/>
  <c r="AE46" i="17"/>
  <c r="X15" i="17"/>
  <c r="V7" i="17"/>
  <c r="F15" i="17"/>
  <c r="J15" i="17" s="1"/>
  <c r="AD15" i="17" s="1"/>
  <c r="AE10" i="17"/>
  <c r="AE18" i="17"/>
  <c r="X13" i="17"/>
  <c r="AE33" i="17" l="1"/>
  <c r="AB15" i="17"/>
  <c r="V12" i="17"/>
  <c r="X7" i="17"/>
  <c r="F7" i="17"/>
  <c r="J7" i="17" s="1"/>
  <c r="AD7" i="17" s="1"/>
  <c r="N7" i="17"/>
  <c r="K12" i="17"/>
  <c r="AB13" i="17"/>
  <c r="AE16" i="17"/>
  <c r="AB7" i="17" l="1"/>
  <c r="AE13" i="17"/>
  <c r="V9" i="17"/>
  <c r="X9" i="17" s="1"/>
  <c r="X12" i="17"/>
  <c r="K9" i="17"/>
  <c r="N9" i="17" s="1"/>
  <c r="N12" i="17"/>
  <c r="F12" i="17"/>
  <c r="J12" i="17" s="1"/>
  <c r="AD12" i="17" s="1"/>
  <c r="AE15" i="17"/>
  <c r="AB9" i="17" l="1"/>
  <c r="AE7" i="17"/>
  <c r="F9" i="17"/>
  <c r="J9" i="17" s="1"/>
  <c r="AD9" i="17" s="1"/>
  <c r="AB12" i="17"/>
  <c r="AE12" i="17" l="1"/>
  <c r="AE9" i="17"/>
  <c r="H114" i="12" l="1"/>
  <c r="G114" i="12"/>
  <c r="H113" i="12"/>
  <c r="G113" i="12"/>
  <c r="H112" i="12"/>
  <c r="G112" i="12"/>
  <c r="H111" i="12"/>
  <c r="G111" i="12"/>
  <c r="H110" i="12"/>
  <c r="G110" i="12"/>
  <c r="H109" i="12"/>
  <c r="G109" i="12"/>
  <c r="H108" i="12"/>
  <c r="G108" i="12"/>
  <c r="H107" i="12"/>
  <c r="G107" i="12"/>
  <c r="H106" i="12"/>
  <c r="G106" i="12"/>
  <c r="H105" i="12"/>
  <c r="G105" i="12"/>
  <c r="H104" i="12"/>
  <c r="G104" i="12"/>
  <c r="H103" i="12"/>
  <c r="G103" i="12"/>
  <c r="H102" i="12"/>
  <c r="G102" i="12"/>
  <c r="H101" i="12"/>
  <c r="G101" i="12"/>
  <c r="H98" i="12"/>
  <c r="G98" i="12"/>
  <c r="H95" i="12"/>
  <c r="G95" i="12"/>
  <c r="H93" i="12"/>
  <c r="G93" i="12"/>
  <c r="H92" i="12"/>
  <c r="G92" i="12"/>
  <c r="H91" i="12"/>
  <c r="G91" i="12"/>
  <c r="H90" i="12"/>
  <c r="G90" i="12"/>
  <c r="H89" i="12"/>
  <c r="G89" i="12"/>
  <c r="H88" i="12"/>
  <c r="G88" i="12"/>
  <c r="H87" i="12"/>
  <c r="G87" i="12"/>
  <c r="H85" i="12"/>
  <c r="G85" i="12"/>
  <c r="H84" i="12"/>
  <c r="G84" i="12"/>
  <c r="H83" i="12"/>
  <c r="G83" i="12"/>
  <c r="H82" i="12"/>
  <c r="G82" i="12"/>
  <c r="H80" i="12"/>
  <c r="G80" i="12"/>
  <c r="H78" i="12"/>
  <c r="G78" i="12"/>
  <c r="H76" i="12"/>
  <c r="G76" i="12"/>
  <c r="H75" i="12"/>
  <c r="G75" i="12"/>
  <c r="H73" i="12"/>
  <c r="G73" i="12"/>
  <c r="H72" i="12"/>
  <c r="G72" i="12"/>
  <c r="H69" i="12"/>
  <c r="G69" i="12"/>
  <c r="H68" i="12"/>
  <c r="G68" i="12"/>
  <c r="H67" i="12"/>
  <c r="G67" i="12"/>
  <c r="H64" i="12"/>
  <c r="G64" i="12"/>
  <c r="H63" i="12"/>
  <c r="G63" i="12"/>
  <c r="H60" i="12"/>
  <c r="G60" i="12"/>
  <c r="H59" i="12"/>
  <c r="G59" i="12"/>
  <c r="H55" i="12"/>
  <c r="G55" i="12"/>
  <c r="H54" i="12"/>
  <c r="G54" i="12"/>
  <c r="H50" i="12"/>
  <c r="G50" i="12"/>
  <c r="H48" i="12"/>
  <c r="G48" i="12"/>
  <c r="H45" i="12"/>
  <c r="G45" i="12"/>
  <c r="H43" i="12"/>
  <c r="G43" i="12"/>
  <c r="H40" i="12"/>
  <c r="G40" i="12"/>
  <c r="H39" i="12"/>
  <c r="G39" i="12"/>
  <c r="H38" i="12"/>
  <c r="G38" i="12"/>
  <c r="H37" i="12"/>
  <c r="G37" i="12"/>
  <c r="H36" i="12"/>
  <c r="G36" i="12"/>
  <c r="H35" i="12"/>
  <c r="G35" i="12"/>
  <c r="H34" i="12"/>
  <c r="G34" i="12"/>
  <c r="H33" i="12"/>
  <c r="G33" i="12"/>
  <c r="H32" i="12"/>
  <c r="G32" i="12"/>
  <c r="H31" i="12"/>
  <c r="G31" i="12"/>
  <c r="H30" i="12"/>
  <c r="G30" i="12"/>
  <c r="H29" i="12"/>
  <c r="G29" i="12"/>
  <c r="H28" i="12"/>
  <c r="G28" i="12"/>
  <c r="H27" i="12"/>
  <c r="G27" i="12"/>
  <c r="H26" i="12"/>
  <c r="G26" i="12"/>
  <c r="H25" i="12"/>
  <c r="G25" i="12"/>
  <c r="H24" i="12"/>
  <c r="G24" i="12"/>
  <c r="H17" i="12"/>
  <c r="G17" i="12"/>
  <c r="H12" i="12"/>
  <c r="G12" i="12"/>
  <c r="H11" i="12"/>
  <c r="G11" i="12"/>
  <c r="H10" i="12"/>
  <c r="G10" i="12"/>
  <c r="F99" i="12"/>
  <c r="F96" i="12"/>
  <c r="F79" i="12"/>
  <c r="F70" i="12"/>
  <c r="F65" i="12"/>
  <c r="F61" i="12"/>
  <c r="F44" i="12"/>
  <c r="F20" i="12"/>
  <c r="F14" i="12"/>
  <c r="F9" i="12"/>
  <c r="G9" i="12" s="1"/>
  <c r="F8" i="12"/>
  <c r="F7" i="12"/>
  <c r="E58" i="12"/>
  <c r="G58" i="12" s="1"/>
  <c r="H58" i="12" s="1"/>
  <c r="E59" i="12"/>
  <c r="E13" i="4"/>
  <c r="E12" i="4"/>
  <c r="G12" i="4" s="1"/>
  <c r="H12" i="4" s="1"/>
  <c r="E10" i="4"/>
  <c r="G10" i="4" s="1"/>
  <c r="H10" i="4" s="1"/>
  <c r="E9" i="4"/>
  <c r="G9" i="4" s="1"/>
  <c r="H9" i="4" s="1"/>
  <c r="E8" i="4"/>
  <c r="H13" i="4"/>
  <c r="G13" i="4"/>
  <c r="B11" i="4"/>
  <c r="E11" i="4" s="1"/>
  <c r="B7" i="4"/>
  <c r="E7" i="4" s="1"/>
  <c r="F11" i="4"/>
  <c r="G11" i="4" s="1"/>
  <c r="H11" i="4" s="1"/>
  <c r="E114" i="12"/>
  <c r="E113" i="12"/>
  <c r="E112" i="12"/>
  <c r="E111" i="12"/>
  <c r="E109" i="12"/>
  <c r="E108" i="12"/>
  <c r="E107" i="12"/>
  <c r="E106" i="12"/>
  <c r="E105" i="12"/>
  <c r="E103" i="12"/>
  <c r="E102" i="12"/>
  <c r="E101" i="12"/>
  <c r="E100" i="12"/>
  <c r="G100" i="12" s="1"/>
  <c r="H100" i="12" s="1"/>
  <c r="E98" i="12"/>
  <c r="E97" i="12"/>
  <c r="G97" i="12" s="1"/>
  <c r="H97" i="12" s="1"/>
  <c r="E95" i="12"/>
  <c r="E93" i="12"/>
  <c r="E92" i="12"/>
  <c r="E90" i="12"/>
  <c r="E89" i="12"/>
  <c r="E87" i="12"/>
  <c r="E85" i="12"/>
  <c r="E84" i="12"/>
  <c r="E82" i="12"/>
  <c r="E81" i="12"/>
  <c r="G81" i="12" s="1"/>
  <c r="H81" i="12" s="1"/>
  <c r="E80" i="12"/>
  <c r="E78" i="12"/>
  <c r="E77" i="12"/>
  <c r="G77" i="12" s="1"/>
  <c r="H77" i="12" s="1"/>
  <c r="E76" i="12"/>
  <c r="E75" i="12"/>
  <c r="E74" i="12"/>
  <c r="G74" i="12" s="1"/>
  <c r="H74" i="12" s="1"/>
  <c r="E73" i="12"/>
  <c r="E72" i="12"/>
  <c r="E71" i="12"/>
  <c r="G71" i="12" s="1"/>
  <c r="H71" i="12" s="1"/>
  <c r="E69" i="12"/>
  <c r="E68" i="12"/>
  <c r="E67" i="12"/>
  <c r="E66" i="12"/>
  <c r="G66" i="12" s="1"/>
  <c r="H66" i="12" s="1"/>
  <c r="E64" i="12"/>
  <c r="E63" i="12"/>
  <c r="E62" i="12"/>
  <c r="G62" i="12" s="1"/>
  <c r="H62" i="12" s="1"/>
  <c r="E57" i="12"/>
  <c r="G57" i="12" s="1"/>
  <c r="H57" i="12" s="1"/>
  <c r="E56" i="12"/>
  <c r="G56" i="12" s="1"/>
  <c r="H56" i="12" s="1"/>
  <c r="E55" i="12"/>
  <c r="E54" i="12"/>
  <c r="E53" i="12"/>
  <c r="G53" i="12" s="1"/>
  <c r="H53" i="12" s="1"/>
  <c r="E52" i="12"/>
  <c r="G52" i="12" s="1"/>
  <c r="H52" i="12" s="1"/>
  <c r="E51" i="12"/>
  <c r="G51" i="12" s="1"/>
  <c r="H51" i="12" s="1"/>
  <c r="E50" i="12"/>
  <c r="E49" i="12"/>
  <c r="G49" i="12" s="1"/>
  <c r="H49" i="12" s="1"/>
  <c r="E48" i="12"/>
  <c r="E47" i="12"/>
  <c r="G47" i="12" s="1"/>
  <c r="H47" i="12" s="1"/>
  <c r="E46" i="12"/>
  <c r="G46" i="12" s="1"/>
  <c r="H46" i="12" s="1"/>
  <c r="E45" i="12"/>
  <c r="E43" i="12"/>
  <c r="E40" i="12"/>
  <c r="E39" i="12"/>
  <c r="E37" i="12"/>
  <c r="E36" i="12"/>
  <c r="E34" i="12"/>
  <c r="E31" i="12"/>
  <c r="E30" i="12"/>
  <c r="E28" i="12"/>
  <c r="E26" i="12"/>
  <c r="E25" i="12"/>
  <c r="E24" i="12"/>
  <c r="E23" i="12"/>
  <c r="G23" i="12" s="1"/>
  <c r="H23" i="12" s="1"/>
  <c r="E21" i="12"/>
  <c r="G21" i="12" s="1"/>
  <c r="H21" i="12" s="1"/>
  <c r="E19" i="12"/>
  <c r="G19" i="12" s="1"/>
  <c r="H19" i="12" s="1"/>
  <c r="E18" i="12"/>
  <c r="G18" i="12" s="1"/>
  <c r="H18" i="12" s="1"/>
  <c r="E17" i="12"/>
  <c r="E16" i="12"/>
  <c r="G16" i="12" s="1"/>
  <c r="H16" i="12" s="1"/>
  <c r="E15" i="12"/>
  <c r="G15" i="12" s="1"/>
  <c r="H15" i="12" s="1"/>
  <c r="E14" i="12"/>
  <c r="E13" i="12"/>
  <c r="G13" i="12" s="1"/>
  <c r="H13" i="12" s="1"/>
  <c r="E12" i="12"/>
  <c r="E11" i="12"/>
  <c r="E9" i="12"/>
  <c r="E8" i="12"/>
  <c r="D110" i="12"/>
  <c r="B110" i="12"/>
  <c r="D104" i="12"/>
  <c r="C104" i="12"/>
  <c r="B104" i="12"/>
  <c r="B99" i="12"/>
  <c r="E99" i="12" s="1"/>
  <c r="B96" i="12"/>
  <c r="E96" i="12" s="1"/>
  <c r="D94" i="12"/>
  <c r="C94" i="12"/>
  <c r="D91" i="12"/>
  <c r="E91" i="12" s="1"/>
  <c r="B88" i="12"/>
  <c r="E88" i="12" s="1"/>
  <c r="B83" i="12"/>
  <c r="E83" i="12" s="1"/>
  <c r="B79" i="12"/>
  <c r="E79" i="12" s="1"/>
  <c r="D70" i="12"/>
  <c r="C70" i="12"/>
  <c r="C42" i="12" s="1"/>
  <c r="B70" i="12"/>
  <c r="B65" i="12"/>
  <c r="E65" i="12" s="1"/>
  <c r="D61" i="12"/>
  <c r="B61" i="12"/>
  <c r="D44" i="12"/>
  <c r="B44" i="12"/>
  <c r="B38" i="12"/>
  <c r="E38" i="12" s="1"/>
  <c r="B35" i="12"/>
  <c r="E35" i="12" s="1"/>
  <c r="D29" i="12"/>
  <c r="E29" i="12" s="1"/>
  <c r="D27" i="12"/>
  <c r="D20" i="12" s="1"/>
  <c r="B22" i="12"/>
  <c r="E22" i="12" s="1"/>
  <c r="G22" i="12" s="1"/>
  <c r="H22" i="12" s="1"/>
  <c r="D10" i="12"/>
  <c r="E10" i="12" s="1"/>
  <c r="D7" i="12"/>
  <c r="B7" i="12"/>
  <c r="B6" i="12" s="1"/>
  <c r="C6" i="12"/>
  <c r="C5" i="12" s="1"/>
  <c r="G8" i="4"/>
  <c r="H8" i="4" s="1"/>
  <c r="G7" i="7"/>
  <c r="H7" i="7"/>
  <c r="G8" i="7"/>
  <c r="H8" i="7"/>
  <c r="G9" i="7"/>
  <c r="H9" i="7"/>
  <c r="G10" i="7"/>
  <c r="H10" i="7"/>
  <c r="G11" i="7"/>
  <c r="H11" i="7"/>
  <c r="G12" i="7"/>
  <c r="H12" i="7"/>
  <c r="G13" i="7"/>
  <c r="H13" i="7"/>
  <c r="G14" i="7"/>
  <c r="H14" i="7"/>
  <c r="G15" i="7"/>
  <c r="H15" i="7"/>
  <c r="G16" i="7"/>
  <c r="H16" i="7"/>
  <c r="G17" i="7"/>
  <c r="H17" i="7"/>
  <c r="G18" i="7"/>
  <c r="H18" i="7"/>
  <c r="G19" i="7"/>
  <c r="H19" i="7"/>
  <c r="G20" i="7"/>
  <c r="H20" i="7"/>
  <c r="G21" i="7"/>
  <c r="H21" i="7"/>
  <c r="G22" i="7"/>
  <c r="H22" i="7"/>
  <c r="G23" i="7"/>
  <c r="H23" i="7"/>
  <c r="G24" i="7"/>
  <c r="H24" i="7"/>
  <c r="G25" i="7"/>
  <c r="H25" i="7"/>
  <c r="G26" i="7"/>
  <c r="H26" i="7"/>
  <c r="G27" i="7"/>
  <c r="H27" i="7"/>
  <c r="G28" i="7"/>
  <c r="H28" i="7"/>
  <c r="G29" i="7"/>
  <c r="H29" i="7"/>
  <c r="G30" i="7"/>
  <c r="H30" i="7"/>
  <c r="G31" i="7"/>
  <c r="H31" i="7"/>
  <c r="G32" i="7"/>
  <c r="H32" i="7"/>
  <c r="G33" i="7"/>
  <c r="H33" i="7"/>
  <c r="G34" i="7"/>
  <c r="H34" i="7"/>
  <c r="G35" i="7"/>
  <c r="H35" i="7"/>
  <c r="G36" i="7"/>
  <c r="H36" i="7"/>
  <c r="G37" i="7"/>
  <c r="H37" i="7"/>
  <c r="G38" i="7"/>
  <c r="H38" i="7"/>
  <c r="G39" i="7"/>
  <c r="H39" i="7"/>
  <c r="G40" i="7"/>
  <c r="H40" i="7"/>
  <c r="G41" i="7"/>
  <c r="H41" i="7"/>
  <c r="G42" i="7"/>
  <c r="H42" i="7"/>
  <c r="G43" i="7"/>
  <c r="H43" i="7"/>
  <c r="G44" i="7"/>
  <c r="H44" i="7"/>
  <c r="G45" i="7"/>
  <c r="H45" i="7"/>
  <c r="G46" i="7"/>
  <c r="H46" i="7"/>
  <c r="G47" i="7"/>
  <c r="H47" i="7"/>
  <c r="G48" i="7"/>
  <c r="H48" i="7"/>
  <c r="G49" i="7"/>
  <c r="H49" i="7"/>
  <c r="G50" i="7"/>
  <c r="H50" i="7"/>
  <c r="G51" i="7"/>
  <c r="H51" i="7"/>
  <c r="G52" i="7"/>
  <c r="H52" i="7"/>
  <c r="G53" i="7"/>
  <c r="H53" i="7"/>
  <c r="G54" i="7"/>
  <c r="H54" i="7"/>
  <c r="G55" i="7"/>
  <c r="H55" i="7"/>
  <c r="G56" i="7"/>
  <c r="H56" i="7"/>
  <c r="G57" i="7"/>
  <c r="H57" i="7"/>
  <c r="G58" i="7"/>
  <c r="H58" i="7"/>
  <c r="G59" i="7"/>
  <c r="H59" i="7"/>
  <c r="G60" i="7"/>
  <c r="H60" i="7"/>
  <c r="G61" i="7"/>
  <c r="H61" i="7"/>
  <c r="G62" i="7"/>
  <c r="H62" i="7"/>
  <c r="G63" i="7"/>
  <c r="H63" i="7"/>
  <c r="G64" i="7"/>
  <c r="H64" i="7"/>
  <c r="G65" i="7"/>
  <c r="H65" i="7"/>
  <c r="G66" i="7"/>
  <c r="H66" i="7"/>
  <c r="G67" i="7"/>
  <c r="H67" i="7"/>
  <c r="G68" i="7"/>
  <c r="H68" i="7"/>
  <c r="G69" i="7"/>
  <c r="H69" i="7"/>
  <c r="G70" i="7"/>
  <c r="H70" i="7"/>
  <c r="G71" i="7"/>
  <c r="H71" i="7"/>
  <c r="G72" i="7"/>
  <c r="H72" i="7"/>
  <c r="G73" i="7"/>
  <c r="H73" i="7"/>
  <c r="G74" i="7"/>
  <c r="H74" i="7"/>
  <c r="G75" i="7"/>
  <c r="H75" i="7"/>
  <c r="G76" i="7"/>
  <c r="H76" i="7"/>
  <c r="G77" i="7"/>
  <c r="H77" i="7"/>
  <c r="G78" i="7"/>
  <c r="H78" i="7"/>
  <c r="G79" i="7"/>
  <c r="H79" i="7"/>
  <c r="G80" i="7"/>
  <c r="H80" i="7"/>
  <c r="G81" i="7"/>
  <c r="H81" i="7"/>
  <c r="G82" i="7"/>
  <c r="H82" i="7"/>
  <c r="G83" i="7"/>
  <c r="H83" i="7"/>
  <c r="G84" i="7"/>
  <c r="H84" i="7"/>
  <c r="G85" i="7"/>
  <c r="H85" i="7"/>
  <c r="G86" i="7"/>
  <c r="H86" i="7"/>
  <c r="G87" i="7"/>
  <c r="H87" i="7"/>
  <c r="G88" i="7"/>
  <c r="H88" i="7"/>
  <c r="G89" i="7"/>
  <c r="H89" i="7"/>
  <c r="G90" i="7"/>
  <c r="H90" i="7"/>
  <c r="G91" i="7"/>
  <c r="H91" i="7"/>
  <c r="G92" i="7"/>
  <c r="H92" i="7"/>
  <c r="G93" i="7"/>
  <c r="H93" i="7"/>
  <c r="G94" i="7"/>
  <c r="H94" i="7"/>
  <c r="G95" i="7"/>
  <c r="H95" i="7"/>
  <c r="G96" i="7"/>
  <c r="H96" i="7"/>
  <c r="G97" i="7"/>
  <c r="H97" i="7"/>
  <c r="G98" i="7"/>
  <c r="H98" i="7"/>
  <c r="G99" i="7"/>
  <c r="H99" i="7"/>
  <c r="G100" i="7"/>
  <c r="H100" i="7"/>
  <c r="G101" i="7"/>
  <c r="H101" i="7"/>
  <c r="G102" i="7"/>
  <c r="H102" i="7"/>
  <c r="G103" i="7"/>
  <c r="H103" i="7"/>
  <c r="G104" i="7"/>
  <c r="H104" i="7"/>
  <c r="G105" i="7"/>
  <c r="H105" i="7"/>
  <c r="G106" i="7"/>
  <c r="H106" i="7"/>
  <c r="G107" i="7"/>
  <c r="H107" i="7"/>
  <c r="G108" i="7"/>
  <c r="H108" i="7"/>
  <c r="G109" i="7"/>
  <c r="H109" i="7"/>
  <c r="G110" i="7"/>
  <c r="H110" i="7"/>
  <c r="G111" i="7"/>
  <c r="H111" i="7"/>
  <c r="G112" i="7"/>
  <c r="H112" i="7"/>
  <c r="D111" i="7"/>
  <c r="C111" i="7"/>
  <c r="B111" i="7"/>
  <c r="D106" i="7"/>
  <c r="C106" i="7"/>
  <c r="B106" i="7"/>
  <c r="D105" i="7"/>
  <c r="C105" i="7"/>
  <c r="B105" i="7"/>
  <c r="D104" i="7"/>
  <c r="C104" i="7"/>
  <c r="B104" i="7"/>
  <c r="D103" i="7"/>
  <c r="C103" i="7"/>
  <c r="B103" i="7"/>
  <c r="D101" i="7"/>
  <c r="C101" i="7"/>
  <c r="B101" i="7"/>
  <c r="D100" i="7"/>
  <c r="C100" i="7"/>
  <c r="B100" i="7"/>
  <c r="C99" i="7"/>
  <c r="B99" i="7"/>
  <c r="D98" i="7"/>
  <c r="C98" i="7"/>
  <c r="D97" i="7"/>
  <c r="C97" i="7"/>
  <c r="B97" i="7"/>
  <c r="D95" i="7"/>
  <c r="C95" i="7"/>
  <c r="B95" i="7"/>
  <c r="D94" i="7"/>
  <c r="C94" i="7"/>
  <c r="B94" i="7"/>
  <c r="D92" i="7"/>
  <c r="C92" i="7"/>
  <c r="B92" i="7"/>
  <c r="D91" i="7"/>
  <c r="C91" i="7"/>
  <c r="C110" i="7" s="1"/>
  <c r="C112" i="7" s="1"/>
  <c r="B91" i="7"/>
  <c r="B110" i="7" s="1"/>
  <c r="B112" i="7" s="1"/>
  <c r="E86" i="7"/>
  <c r="E85" i="7"/>
  <c r="E92" i="7" s="1"/>
  <c r="D84" i="7"/>
  <c r="E84" i="7" s="1"/>
  <c r="B84" i="7"/>
  <c r="E83" i="7"/>
  <c r="E82" i="7"/>
  <c r="E81" i="7"/>
  <c r="D80" i="7"/>
  <c r="B80" i="7"/>
  <c r="E80" i="7" s="1"/>
  <c r="E79" i="7"/>
  <c r="B78" i="7"/>
  <c r="E78" i="7" s="1"/>
  <c r="D77" i="7"/>
  <c r="E76" i="7"/>
  <c r="E75" i="7"/>
  <c r="E105" i="7" s="1"/>
  <c r="E74" i="7"/>
  <c r="E103" i="7" s="1"/>
  <c r="E73" i="7"/>
  <c r="B72" i="7"/>
  <c r="B71" i="7" s="1"/>
  <c r="E70" i="7"/>
  <c r="D69" i="7"/>
  <c r="E69" i="7" s="1"/>
  <c r="B69" i="7"/>
  <c r="E68" i="7"/>
  <c r="E67" i="7"/>
  <c r="E66" i="7"/>
  <c r="E104" i="7" s="1"/>
  <c r="E65" i="7"/>
  <c r="E94" i="7" s="1"/>
  <c r="E64" i="7"/>
  <c r="D63" i="7"/>
  <c r="D62" i="7" s="1"/>
  <c r="B63" i="7"/>
  <c r="E63" i="7" s="1"/>
  <c r="E61" i="7"/>
  <c r="E60" i="7"/>
  <c r="E59" i="7"/>
  <c r="E58" i="7"/>
  <c r="B58" i="7"/>
  <c r="B57" i="7" s="1"/>
  <c r="E57" i="7" s="1"/>
  <c r="E56" i="7"/>
  <c r="E55" i="7"/>
  <c r="E54" i="7"/>
  <c r="E53" i="7"/>
  <c r="E52" i="7"/>
  <c r="D52" i="7"/>
  <c r="E51" i="7"/>
  <c r="D50" i="7"/>
  <c r="E50" i="7" s="1"/>
  <c r="E49" i="7"/>
  <c r="E106" i="7" s="1"/>
  <c r="D48" i="7"/>
  <c r="E48" i="7" s="1"/>
  <c r="E47" i="7"/>
  <c r="E46" i="7"/>
  <c r="E99" i="7" s="1"/>
  <c r="D46" i="7"/>
  <c r="D99" i="7" s="1"/>
  <c r="E45" i="7"/>
  <c r="E44" i="7"/>
  <c r="E43" i="7"/>
  <c r="B43" i="7"/>
  <c r="D42" i="7"/>
  <c r="D35" i="7" s="1"/>
  <c r="B42" i="7"/>
  <c r="E42" i="7" s="1"/>
  <c r="E41" i="7"/>
  <c r="E40" i="7"/>
  <c r="E39" i="7"/>
  <c r="E101" i="7" s="1"/>
  <c r="E38" i="7"/>
  <c r="D37" i="7"/>
  <c r="B37" i="7"/>
  <c r="E37" i="7" s="1"/>
  <c r="E36" i="7"/>
  <c r="B35" i="7"/>
  <c r="E35" i="7" s="1"/>
  <c r="E34" i="7"/>
  <c r="E33" i="7"/>
  <c r="B32" i="7"/>
  <c r="B29" i="7" s="1"/>
  <c r="E29" i="7" s="1"/>
  <c r="E31" i="7"/>
  <c r="E97" i="7" s="1"/>
  <c r="E30" i="7"/>
  <c r="B30" i="7"/>
  <c r="E28" i="7"/>
  <c r="E27" i="7"/>
  <c r="E100" i="7" s="1"/>
  <c r="E26" i="7"/>
  <c r="E25" i="7"/>
  <c r="E24" i="7"/>
  <c r="E91" i="7" s="1"/>
  <c r="B23" i="7"/>
  <c r="E23" i="7" s="1"/>
  <c r="E22" i="7"/>
  <c r="E21" i="7"/>
  <c r="D20" i="7"/>
  <c r="D13" i="7" s="1"/>
  <c r="B20" i="7"/>
  <c r="E20" i="7" s="1"/>
  <c r="E19" i="7"/>
  <c r="B18" i="7"/>
  <c r="B98" i="7" s="1"/>
  <c r="E16" i="7"/>
  <c r="E15" i="7"/>
  <c r="E14" i="7"/>
  <c r="D14" i="7"/>
  <c r="B14" i="7"/>
  <c r="E12" i="7"/>
  <c r="E11" i="7"/>
  <c r="E10" i="7"/>
  <c r="B10" i="7"/>
  <c r="E9" i="7"/>
  <c r="E8" i="7"/>
  <c r="E111" i="7" s="1"/>
  <c r="B8" i="7"/>
  <c r="D7" i="7"/>
  <c r="C7" i="7"/>
  <c r="B7" i="7"/>
  <c r="E7" i="7" s="1"/>
  <c r="D6" i="7"/>
  <c r="C6" i="7"/>
  <c r="C87" i="7" s="1"/>
  <c r="B6" i="7"/>
  <c r="E6" i="7" s="1"/>
  <c r="G65" i="12" l="1"/>
  <c r="G99" i="12"/>
  <c r="G79" i="12"/>
  <c r="H96" i="12"/>
  <c r="H9" i="12"/>
  <c r="H65" i="12"/>
  <c r="H79" i="12"/>
  <c r="H99" i="12"/>
  <c r="F42" i="12"/>
  <c r="G8" i="12"/>
  <c r="H8" i="12" s="1"/>
  <c r="G14" i="12"/>
  <c r="H14" i="12" s="1"/>
  <c r="G44" i="12"/>
  <c r="G96" i="12"/>
  <c r="F94" i="12"/>
  <c r="H44" i="12"/>
  <c r="F6" i="12"/>
  <c r="E7" i="12"/>
  <c r="G7" i="12" s="1"/>
  <c r="H7" i="12" s="1"/>
  <c r="E70" i="12"/>
  <c r="G70" i="12" s="1"/>
  <c r="H70" i="12" s="1"/>
  <c r="E61" i="12"/>
  <c r="G61" i="12" s="1"/>
  <c r="H61" i="12" s="1"/>
  <c r="E110" i="12"/>
  <c r="E104" i="12"/>
  <c r="E44" i="12"/>
  <c r="E27" i="12"/>
  <c r="B6" i="4"/>
  <c r="F7" i="4"/>
  <c r="B94" i="12"/>
  <c r="D42" i="12"/>
  <c r="C86" i="12"/>
  <c r="C41" i="12" s="1"/>
  <c r="C115" i="12" s="1"/>
  <c r="D6" i="12"/>
  <c r="D5" i="12" s="1"/>
  <c r="B42" i="12"/>
  <c r="B20" i="12"/>
  <c r="B33" i="12"/>
  <c r="D86" i="12"/>
  <c r="D110" i="7"/>
  <c r="D112" i="7" s="1"/>
  <c r="D87" i="7"/>
  <c r="E71" i="7"/>
  <c r="B62" i="7"/>
  <c r="E62" i="7" s="1"/>
  <c r="E18" i="7"/>
  <c r="E98" i="7" s="1"/>
  <c r="E32" i="7"/>
  <c r="B17" i="7"/>
  <c r="E72" i="7"/>
  <c r="E95" i="7" s="1"/>
  <c r="E110" i="7" s="1"/>
  <c r="E112" i="7" s="1"/>
  <c r="B77" i="7"/>
  <c r="E77" i="7" s="1"/>
  <c r="E6" i="4" l="1"/>
  <c r="E20" i="12"/>
  <c r="G20" i="12" s="1"/>
  <c r="H20" i="12" s="1"/>
  <c r="E94" i="12"/>
  <c r="G94" i="12" s="1"/>
  <c r="H94" i="12" s="1"/>
  <c r="F86" i="12"/>
  <c r="G42" i="12"/>
  <c r="H42" i="12" s="1"/>
  <c r="E33" i="12"/>
  <c r="F5" i="12"/>
  <c r="B86" i="12"/>
  <c r="E6" i="12"/>
  <c r="G6" i="12" s="1"/>
  <c r="H6" i="12" s="1"/>
  <c r="D41" i="12"/>
  <c r="D115" i="12" s="1"/>
  <c r="E42" i="12"/>
  <c r="G7" i="4"/>
  <c r="H7" i="4" s="1"/>
  <c r="F6" i="4"/>
  <c r="G6" i="4" s="1"/>
  <c r="H6" i="4" s="1"/>
  <c r="B5" i="12"/>
  <c r="B32" i="12"/>
  <c r="E17" i="7"/>
  <c r="B13" i="7"/>
  <c r="E86" i="12" l="1"/>
  <c r="G86" i="12"/>
  <c r="H86" i="12" s="1"/>
  <c r="F41" i="12"/>
  <c r="F115" i="12" s="1"/>
  <c r="E32" i="12"/>
  <c r="E5" i="12"/>
  <c r="B41" i="12"/>
  <c r="E41" i="12"/>
  <c r="E13" i="7"/>
  <c r="B87" i="7"/>
  <c r="E87" i="7" s="1"/>
  <c r="B115" i="12" l="1"/>
  <c r="G41" i="12"/>
  <c r="H41" i="12"/>
  <c r="E115" i="12" l="1"/>
  <c r="G115" i="12" s="1"/>
  <c r="H115" i="12" s="1"/>
  <c r="G5" i="12" l="1"/>
  <c r="H5" i="12" s="1"/>
  <c r="G6" i="7"/>
  <c r="H6" i="7" s="1"/>
  <c r="H2" i="15" l="1"/>
  <c r="I2" i="15"/>
  <c r="J2" i="15"/>
  <c r="K2" i="15"/>
  <c r="L2" i="15"/>
  <c r="H3" i="15"/>
  <c r="I3" i="15"/>
  <c r="J3" i="15"/>
  <c r="K3" i="15"/>
  <c r="L3" i="15"/>
  <c r="H4" i="15"/>
  <c r="I4" i="15"/>
  <c r="J4" i="15"/>
  <c r="K4" i="15"/>
  <c r="L4" i="15"/>
  <c r="H5" i="15"/>
  <c r="I5" i="15"/>
  <c r="J5" i="15"/>
  <c r="K5" i="15"/>
  <c r="L5" i="15"/>
  <c r="H6" i="15"/>
  <c r="I6" i="15"/>
  <c r="J6" i="15"/>
  <c r="K6" i="15"/>
  <c r="L6" i="15"/>
  <c r="H7" i="15"/>
  <c r="I7" i="15"/>
  <c r="J7" i="15"/>
  <c r="K7" i="15"/>
  <c r="L7" i="15"/>
  <c r="H8" i="15"/>
  <c r="I8" i="15"/>
  <c r="J8" i="15"/>
  <c r="K8" i="15"/>
  <c r="L8" i="15"/>
  <c r="H9" i="15"/>
  <c r="I9" i="15"/>
  <c r="J9" i="15"/>
  <c r="K9" i="15"/>
  <c r="L9" i="15"/>
  <c r="H10" i="15"/>
  <c r="I10" i="15"/>
  <c r="J10" i="15"/>
  <c r="K10" i="15"/>
  <c r="L10" i="15"/>
  <c r="H11" i="15"/>
  <c r="I11" i="15"/>
  <c r="J11" i="15"/>
  <c r="K11" i="15"/>
  <c r="L11" i="15"/>
  <c r="H12" i="15"/>
  <c r="I12" i="15"/>
  <c r="J12" i="15"/>
  <c r="K12" i="15"/>
  <c r="L12" i="15"/>
  <c r="H13" i="15"/>
  <c r="I13" i="15"/>
  <c r="J13" i="15"/>
  <c r="K13" i="15"/>
  <c r="L13" i="15"/>
  <c r="H14" i="15"/>
  <c r="I14" i="15"/>
  <c r="J14" i="15"/>
  <c r="K14" i="15"/>
  <c r="L14" i="15"/>
  <c r="H15" i="15"/>
  <c r="I15" i="15"/>
  <c r="J15" i="15"/>
  <c r="K15" i="15"/>
  <c r="L15" i="15"/>
  <c r="H16" i="15"/>
  <c r="I16" i="15"/>
  <c r="J16" i="15"/>
  <c r="K16" i="15"/>
  <c r="L16" i="15"/>
  <c r="H17" i="15"/>
  <c r="I17" i="15"/>
  <c r="J17" i="15"/>
  <c r="K17" i="15"/>
  <c r="L17" i="15"/>
  <c r="I1" i="15" l="1"/>
  <c r="I18" i="15" s="1"/>
  <c r="I19" i="15" s="1"/>
  <c r="J1" i="15"/>
  <c r="J18" i="15" s="1"/>
  <c r="J19" i="15" s="1"/>
  <c r="L1" i="15"/>
  <c r="L18" i="15" s="1"/>
  <c r="L19" i="15" s="1"/>
  <c r="H1" i="15"/>
  <c r="H18" i="15" s="1"/>
  <c r="H19" i="15" s="1"/>
  <c r="K1" i="15"/>
  <c r="K18" i="15" s="1"/>
  <c r="K19" i="15" s="1"/>
  <c r="B40" i="15" l="1"/>
  <c r="B42" i="15"/>
  <c r="B33" i="15"/>
  <c r="B41" i="15"/>
  <c r="C32" i="15"/>
  <c r="H26" i="15" l="1"/>
  <c r="E61" i="15" l="1"/>
  <c r="E56" i="15"/>
  <c r="E53" i="15"/>
  <c r="E52" i="15"/>
  <c r="E60" i="15"/>
  <c r="E59" i="15"/>
  <c r="E58" i="15"/>
  <c r="E57" i="15"/>
  <c r="E55" i="15"/>
  <c r="E54" i="15"/>
  <c r="E26" i="15" l="1"/>
  <c r="C26" i="15"/>
  <c r="D26" i="15"/>
  <c r="E51" i="15"/>
  <c r="E50" i="15" s="1"/>
  <c r="B26" i="15"/>
  <c r="E36" i="15" l="1"/>
  <c r="E44" i="15"/>
  <c r="F36" i="15"/>
  <c r="F44" i="15"/>
  <c r="F4" i="15" l="1"/>
  <c r="B44" i="15"/>
  <c r="B36" i="15"/>
  <c r="D44" i="15"/>
  <c r="D36" i="15"/>
  <c r="F9" i="15"/>
  <c r="E2" i="15" l="1"/>
  <c r="E3" i="15"/>
  <c r="D12" i="15"/>
  <c r="F12" i="15"/>
  <c r="C4" i="15"/>
  <c r="C2" i="15"/>
  <c r="F10" i="15"/>
  <c r="C11" i="15"/>
  <c r="E10" i="15"/>
  <c r="E17" i="15"/>
  <c r="D11" i="15"/>
  <c r="C9" i="15"/>
  <c r="C17" i="15"/>
  <c r="D5" i="15"/>
  <c r="G13" i="15"/>
  <c r="G17" i="15"/>
  <c r="G3" i="15"/>
  <c r="F14" i="15"/>
  <c r="C3" i="15"/>
  <c r="D13" i="15"/>
  <c r="C8" i="15"/>
  <c r="F8" i="15"/>
  <c r="D9" i="15"/>
  <c r="D2" i="15"/>
  <c r="D16" i="15"/>
  <c r="G14" i="15"/>
  <c r="E5" i="15"/>
  <c r="F3" i="15"/>
  <c r="D14" i="15"/>
  <c r="F5" i="15"/>
  <c r="C7" i="15"/>
  <c r="F2" i="15"/>
  <c r="G8" i="15"/>
  <c r="C6" i="15"/>
  <c r="D3" i="15"/>
  <c r="F15" i="15"/>
  <c r="E6" i="15"/>
  <c r="E14" i="15"/>
  <c r="E16" i="15"/>
  <c r="G16" i="15"/>
  <c r="C12" i="15"/>
  <c r="G4" i="15"/>
  <c r="G12" i="15"/>
  <c r="G11" i="15"/>
  <c r="D15" i="15"/>
  <c r="F11" i="15"/>
  <c r="E13" i="15"/>
  <c r="G10" i="15"/>
  <c r="F6" i="15"/>
  <c r="D8" i="15"/>
  <c r="C16" i="15"/>
  <c r="F13" i="15"/>
  <c r="F7" i="15"/>
  <c r="G5" i="15"/>
  <c r="C5" i="15"/>
  <c r="D17" i="15"/>
  <c r="C13" i="15"/>
  <c r="F17" i="15"/>
  <c r="E8" i="15"/>
  <c r="G7" i="15"/>
  <c r="C10" i="15"/>
  <c r="G2" i="15"/>
  <c r="C15" i="15"/>
  <c r="D10" i="15"/>
  <c r="C14" i="15"/>
  <c r="F16" i="15"/>
  <c r="G15" i="15"/>
  <c r="E4" i="15"/>
  <c r="G6" i="15"/>
  <c r="D6" i="15"/>
  <c r="G9" i="15"/>
  <c r="E12" i="15"/>
  <c r="C44" i="15"/>
  <c r="C36" i="15"/>
  <c r="E11" i="15" l="1"/>
  <c r="E7" i="15"/>
  <c r="E15" i="15"/>
  <c r="D4" i="15"/>
  <c r="E9" i="15"/>
  <c r="D7" i="15"/>
  <c r="G1" i="15"/>
  <c r="G18" i="15" s="1"/>
  <c r="G19" i="15" s="1"/>
  <c r="C1" i="15"/>
  <c r="C18" i="15" s="1"/>
  <c r="C19" i="15" s="1"/>
  <c r="F1" i="15"/>
  <c r="F18" i="15" s="1"/>
  <c r="F19" i="15" s="1"/>
  <c r="G42" i="15"/>
  <c r="G31" i="15"/>
  <c r="G41" i="15"/>
  <c r="E1" i="15" l="1"/>
  <c r="E18" i="15" s="1"/>
  <c r="E19" i="15" s="1"/>
  <c r="D1" i="15"/>
  <c r="D18" i="15" s="1"/>
  <c r="D19" i="15" s="1"/>
  <c r="G40" i="15"/>
  <c r="E25" i="15" l="1"/>
  <c r="D25" i="15"/>
  <c r="C25" i="15"/>
  <c r="B25" i="15"/>
  <c r="F25" i="15"/>
  <c r="H25" i="15"/>
  <c r="B39" i="15" l="1"/>
  <c r="G39" i="15" s="1"/>
  <c r="G33" i="15" l="1"/>
  <c r="G30" i="15"/>
  <c r="G32" i="15"/>
  <c r="B28" i="15" l="1"/>
  <c r="G28" i="15" s="1"/>
  <c r="B29" i="15"/>
  <c r="G29" i="15" s="1"/>
  <c r="B38" i="15"/>
  <c r="G38" i="15" s="1"/>
  <c r="G27" i="15"/>
  <c r="B37" i="15" l="1"/>
  <c r="G37" i="15" s="1"/>
  <c r="B43" i="15" l="1"/>
  <c r="G36" i="15"/>
  <c r="E34" i="15"/>
  <c r="B14" i="15"/>
  <c r="B9" i="15"/>
  <c r="B5" i="15"/>
  <c r="E43" i="15" l="1"/>
  <c r="E45" i="15"/>
  <c r="B12" i="15"/>
  <c r="B10" i="15"/>
  <c r="B4" i="15"/>
  <c r="B3" i="15"/>
  <c r="B2" i="15"/>
  <c r="B16" i="15"/>
  <c r="B15" i="15"/>
  <c r="B7" i="15"/>
  <c r="B11" i="15"/>
  <c r="B6" i="15"/>
  <c r="B13" i="15"/>
  <c r="B8" i="15"/>
  <c r="B17" i="15"/>
  <c r="D34" i="15"/>
  <c r="B34" i="15"/>
  <c r="B45" i="15" s="1"/>
  <c r="D43" i="15" l="1"/>
  <c r="D45" i="15"/>
  <c r="B1" i="15"/>
  <c r="B18" i="15" s="1"/>
  <c r="B19" i="15" s="1"/>
  <c r="G26" i="15"/>
  <c r="I26" i="15" s="1"/>
  <c r="F34" i="15"/>
  <c r="C34" i="15"/>
  <c r="G25" i="15"/>
  <c r="I25" i="15" s="1"/>
  <c r="F43" i="15" l="1"/>
  <c r="F45" i="15"/>
  <c r="C43" i="15"/>
  <c r="C45" i="15"/>
  <c r="G34" i="15"/>
  <c r="G43" i="15" l="1"/>
  <c r="G44" i="15" l="1"/>
  <c r="G45" i="15" s="1"/>
  <c r="H34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Inga-Moonika Zgudadze</author>
  </authors>
  <commentList>
    <comment ref="R35" authorId="0" shapeId="0" xr:uid="{90A26B4E-2B73-49E9-92D9-BE2C9ABED96F}">
      <text>
        <r>
          <rPr>
            <sz val="9"/>
            <color indexed="81"/>
            <rFont val="Tahoma"/>
            <family val="2"/>
            <charset val="186"/>
          </rPr>
          <t>sh 1856 koolituskulud</t>
        </r>
      </text>
    </comment>
  </commentList>
</comments>
</file>

<file path=xl/sharedStrings.xml><?xml version="1.0" encoding="utf-8"?>
<sst xmlns="http://schemas.openxmlformats.org/spreadsheetml/2006/main" count="608" uniqueCount="470">
  <si>
    <t>TOETUSED</t>
  </si>
  <si>
    <t>investeeringuteks</t>
  </si>
  <si>
    <t>Välisrahastus kokku</t>
  </si>
  <si>
    <t>Toetused kokku</t>
  </si>
  <si>
    <r>
      <t xml:space="preserve">sh </t>
    </r>
    <r>
      <rPr>
        <u/>
        <sz val="10"/>
        <rFont val="Arial"/>
        <family val="2"/>
        <charset val="186"/>
      </rPr>
      <t>tegevuskuludeks</t>
    </r>
  </si>
  <si>
    <t>Sunniraha</t>
  </si>
  <si>
    <t>Muud erakorralised tulud</t>
  </si>
  <si>
    <t>Müüdud vara jääkmaksumus</t>
  </si>
  <si>
    <t>LE</t>
  </si>
  <si>
    <t>RE</t>
  </si>
  <si>
    <t>Tulud majandustegevusest</t>
  </si>
  <si>
    <t>Võlalt arvestatud intressitulu</t>
  </si>
  <si>
    <t>KOKKU</t>
  </si>
  <si>
    <t>€</t>
  </si>
  <si>
    <t>Riiklikud maksud</t>
  </si>
  <si>
    <t>Kohalikud maksud</t>
  </si>
  <si>
    <t>Lõivud</t>
  </si>
  <si>
    <t>Muud tulud</t>
  </si>
  <si>
    <t>Finantstulu</t>
  </si>
  <si>
    <t>Vara müügi kulud</t>
  </si>
  <si>
    <t>Muud tulud varalt</t>
  </si>
  <si>
    <t>Dividendid</t>
  </si>
  <si>
    <t>Toetused riigilt ja muudelt institutsioonidelt</t>
  </si>
  <si>
    <t>Laenude võtmine</t>
  </si>
  <si>
    <t>Linnakassa</t>
  </si>
  <si>
    <t>Üksikisiku tulumaks</t>
  </si>
  <si>
    <t>Maamaks</t>
  </si>
  <si>
    <t>Reklaamimaks</t>
  </si>
  <si>
    <t>Parkimistasu</t>
  </si>
  <si>
    <t>Trahvid</t>
  </si>
  <si>
    <t>Tulu finantsvara investeerimisest</t>
  </si>
  <si>
    <t>Kasum vara müügist</t>
  </si>
  <si>
    <t>välisrahastus</t>
  </si>
  <si>
    <t>LINNAKASSA TULUD</t>
  </si>
  <si>
    <t>Transpordiamet</t>
  </si>
  <si>
    <t>Linnaplaneerimise Amet</t>
  </si>
  <si>
    <t>Hoonestusõiguse tasu</t>
  </si>
  <si>
    <t>Linnavaraamet</t>
  </si>
  <si>
    <t>Kasutusõiguse tasu</t>
  </si>
  <si>
    <t>Munitsipaalpolitsei Amet</t>
  </si>
  <si>
    <t>Tulu vara müügist</t>
  </si>
  <si>
    <t>Võlalt arvestatud tulu</t>
  </si>
  <si>
    <t xml:space="preserve">KULUDE EELARVE </t>
  </si>
  <si>
    <t xml:space="preserve">Katteallikad </t>
  </si>
  <si>
    <t>sh omatulud</t>
  </si>
  <si>
    <t>linnakassa</t>
  </si>
  <si>
    <t>sellest töötasu</t>
  </si>
  <si>
    <t>Haridusameti haldusala</t>
  </si>
  <si>
    <t>VR</t>
  </si>
  <si>
    <t>OMATULUD</t>
  </si>
  <si>
    <t>Kokku</t>
  </si>
  <si>
    <t>Üür ja rent</t>
  </si>
  <si>
    <t>Muu toodete ja teenuste müük</t>
  </si>
  <si>
    <t>Tulud tugiteenustest</t>
  </si>
  <si>
    <t xml:space="preserve">Tulud haridusalasest tegevusest </t>
  </si>
  <si>
    <t>Tulud kultuuri- ja kunstialasest tegevusest</t>
  </si>
  <si>
    <t>Tulud spordi- ja puhkealasest tegevusest</t>
  </si>
  <si>
    <t>Eespool nimetamata muud tulud</t>
  </si>
  <si>
    <t>Õiguste müük</t>
  </si>
  <si>
    <t>Elamu- ja kommunaaltegevuse tulud</t>
  </si>
  <si>
    <t>Tulud muudelt majandusaladelt</t>
  </si>
  <si>
    <t>Tulud sotsiaalabialasest tegevusest</t>
  </si>
  <si>
    <t>Tulud tervishoiualasest tegevusest</t>
  </si>
  <si>
    <t>Tulud transporditeenustest</t>
  </si>
  <si>
    <t>Tulu keskkonnaalasest tegevusest</t>
  </si>
  <si>
    <t>Teede ja tänavate sulgemise maks</t>
  </si>
  <si>
    <t>Loodusvarade kasutusõiguse tasu</t>
  </si>
  <si>
    <t>SE</t>
  </si>
  <si>
    <t>Kasum/kahjum varude müügist</t>
  </si>
  <si>
    <t>sh teede ja tänavate korrashoid</t>
  </si>
  <si>
    <t>OT</t>
  </si>
  <si>
    <t>muud eespoolnimetamata tulud majandustegevusest</t>
  </si>
  <si>
    <t>Kulud kokku</t>
  </si>
  <si>
    <t xml:space="preserve">Linnakantselei </t>
  </si>
  <si>
    <t>Perekonnaseisuamet</t>
  </si>
  <si>
    <t>Toode:</t>
  </si>
  <si>
    <t>Muud eelarvepositsioonid</t>
  </si>
  <si>
    <t>Sotsiaal- ja Tervishoiuameti haldusala</t>
  </si>
  <si>
    <t>Haabersti Linnaosa Valitsuse haldusala</t>
  </si>
  <si>
    <t>Kristiine Linnaosa Valitsuse haldusala</t>
  </si>
  <si>
    <t>Lasnamäe Linnaosa Valitsuse haldusala</t>
  </si>
  <si>
    <t>Mustamäe Linnaosa Valitsuse haldusala</t>
  </si>
  <si>
    <t>Nõmme Linnaosa Valitsuse haldusala</t>
  </si>
  <si>
    <t>Pirita Linnaosa Valitsuse haldusala</t>
  </si>
  <si>
    <t>Põhja-Tallinna Valitsuse haldusala</t>
  </si>
  <si>
    <t>Tallinna Keskraamatukogule teavikute soetamine</t>
  </si>
  <si>
    <t>välisrahastuse arvelt</t>
  </si>
  <si>
    <t>piletimüügi teenustasu</t>
  </si>
  <si>
    <t>tulu koolibussi teenuse osutamisest teistele valdadele</t>
  </si>
  <si>
    <t>veetranspordi piletitulu</t>
  </si>
  <si>
    <t>Tootevaldkond: linnatransport</t>
  </si>
  <si>
    <t>Tootegrupp: ühistransport</t>
  </si>
  <si>
    <t>Liinivedu</t>
  </si>
  <si>
    <t>Piletimajandus</t>
  </si>
  <si>
    <t>Tootegrupp: liikluskorraldus*</t>
  </si>
  <si>
    <t>ühistranspordi ootepaviljonide hooldus</t>
  </si>
  <si>
    <t>ühistranspordi peatuste info</t>
  </si>
  <si>
    <t>sadamate haldus</t>
  </si>
  <si>
    <t>Ühistranspordi uuringud ja projektid</t>
  </si>
  <si>
    <t>muud uuringud ja projektid</t>
  </si>
  <si>
    <t>* Eelarve täitmisel on linnavalitsusel õigus muuta summade jaotust eelarvepositsiooni üldsumma piires.</t>
  </si>
  <si>
    <t>Välisrahastusega teede ja tänavate rekonstrueerimine</t>
  </si>
  <si>
    <t>Linnapiirkondade kergliiklusteede ehitamine</t>
  </si>
  <si>
    <t>Tallinna Kesklinna Valitsuse haldusala</t>
  </si>
  <si>
    <t>E-TICKETING - Eesti ja Soome elektrooniliste piletisüsteemide ristkasutuse loomine</t>
  </si>
  <si>
    <t>Tallinna Loomaaia projekt „Pilvemets“</t>
  </si>
  <si>
    <t>Projekt „Koolibuss“</t>
  </si>
  <si>
    <t>Projekt „Pargi ja reisi“</t>
  </si>
  <si>
    <t>Välisrahastusega projekt „E-TICKETING - Eesti ja Soome elektrooniliste piletisüsteemide ristkasutuse loomine“ (ü)</t>
  </si>
  <si>
    <t>peale selle amortisatsioon</t>
  </si>
  <si>
    <t>Säästlike ja kliimakindlate linna sademeveesüsteemide arendamine (LIFE UrbanStorm)</t>
  </si>
  <si>
    <t>Erivajadustega inimeste eluaseme füüsiline kohandamine</t>
  </si>
  <si>
    <t>CoastNet LIFE - rannikuelupaikade taastamine</t>
  </si>
  <si>
    <t>Tallinna Linnateatri arendusprojekt</t>
  </si>
  <si>
    <t>Linnatransport</t>
  </si>
  <si>
    <t>Vana-Kalamaja tänava rekonstrueerimine</t>
  </si>
  <si>
    <t>Välisrahastusega projekt „Park4SUMP“ (ü)</t>
  </si>
  <si>
    <t>liiniveo infosüsteemid</t>
  </si>
  <si>
    <t>Ühistranspordi infrastruktuuri haldamine*</t>
  </si>
  <si>
    <t>Kulud</t>
  </si>
  <si>
    <t>Investeeringud</t>
  </si>
  <si>
    <t>Kontsessioon</t>
  </si>
  <si>
    <t>LK tulud</t>
  </si>
  <si>
    <t>jääkväärtus</t>
  </si>
  <si>
    <t>Nõude suurenemine</t>
  </si>
  <si>
    <t>Kiirabi parkla laenu katteks - nõude vähenemine</t>
  </si>
  <si>
    <t>Kohustuse kasv</t>
  </si>
  <si>
    <t>Kaasava hariduse põhimõtete rakendamise toetamine Tallinna koolides</t>
  </si>
  <si>
    <t>Keskkonna- ja Kommunaalameti haldusala</t>
  </si>
  <si>
    <t>Tallinna Kesklinna Valitsus</t>
  </si>
  <si>
    <t>Kasum / kahjum kauba müügist</t>
  </si>
  <si>
    <t>sh liikluskorraldusvahendid</t>
  </si>
  <si>
    <t>teekattemärgistus</t>
  </si>
  <si>
    <t>Keskkonna- ja Kommunaalamet</t>
  </si>
  <si>
    <t>Laenude andmine</t>
  </si>
  <si>
    <t>koolieelsete lasteasutuste õpetajate tööjõukulude toetus</t>
  </si>
  <si>
    <t>huvihariduse ja -tegevuse toetus</t>
  </si>
  <si>
    <t>kaasava hariduse põhimõtete rakendamise toetamine Tallinna koolides</t>
  </si>
  <si>
    <t>rahvastikutoimingute kulude hüvitis</t>
  </si>
  <si>
    <t>sellest üldhariduskoolide pidamiseks antav toetus</t>
  </si>
  <si>
    <t>Laenude tagastamine</t>
  </si>
  <si>
    <t>Kiirabi autode liisingu katteks - nõude vähenemine 1</t>
  </si>
  <si>
    <t>Kiirabi autode liisingu katteks - nõude vähenemine 2</t>
  </si>
  <si>
    <t>Hoiuste vähenemine</t>
  </si>
  <si>
    <t>Laenude tagastused (ITK)</t>
  </si>
  <si>
    <t>Liisingu tagastus (kiirabi)</t>
  </si>
  <si>
    <t>Park4SUMP</t>
  </si>
  <si>
    <t>jaotamata</t>
  </si>
  <si>
    <t>sh tegevuskuludeks</t>
  </si>
  <si>
    <t>AI4Cities – linnade üleminek süsinikuneutraalsusele tehisintellekti abil</t>
  </si>
  <si>
    <t>CENTRINNO - Vanade tööstusalade muutmine uuteks loovklastriteks ja kogukonnakeskusteks</t>
  </si>
  <si>
    <t>Rohelinnad - GoGreenRoutes</t>
  </si>
  <si>
    <t>Kultuuri kättesaadavus kõikidele linnakodanikele - ACCESS</t>
  </si>
  <si>
    <t>UserCentriCities (UCC) - Kasutajakeskne teenusedisain linnades</t>
  </si>
  <si>
    <t>Abiks hoolduskoormusega inimestele</t>
  </si>
  <si>
    <t>Alaealiste erikohtlemise süsteemi loomine</t>
  </si>
  <si>
    <t>CitySCAPE - linnasisene küberturvaline multimodaalne transpordi ökosüsteem</t>
  </si>
  <si>
    <t>SUMBA+</t>
  </si>
  <si>
    <t>Roheline kiirtee - innovaatiline rohetaristu planeerimine (B.Green)</t>
  </si>
  <si>
    <t>Põhitänavate välisvalgustuse rekonstrueerimise II etapp</t>
  </si>
  <si>
    <t>HA</t>
  </si>
  <si>
    <t>LVA</t>
  </si>
  <si>
    <t>KKA</t>
  </si>
  <si>
    <t>LPA</t>
  </si>
  <si>
    <t>SNA</t>
  </si>
  <si>
    <t>STA</t>
  </si>
  <si>
    <t>TA</t>
  </si>
  <si>
    <t>SK</t>
  </si>
  <si>
    <t>LVA/HA</t>
  </si>
  <si>
    <r>
      <t xml:space="preserve">sh </t>
    </r>
    <r>
      <rPr>
        <sz val="8"/>
        <rFont val="Arial"/>
        <family val="2"/>
        <charset val="186"/>
      </rPr>
      <t>Viru keskuse autobussiterminal</t>
    </r>
  </si>
  <si>
    <r>
      <t xml:space="preserve">sh </t>
    </r>
    <r>
      <rPr>
        <sz val="8"/>
        <rFont val="Arial"/>
        <family val="2"/>
        <charset val="186"/>
      </rPr>
      <t>liinivedu laevaga</t>
    </r>
  </si>
  <si>
    <r>
      <t xml:space="preserve">sh </t>
    </r>
    <r>
      <rPr>
        <sz val="8"/>
        <rFont val="Arial"/>
        <family val="2"/>
        <charset val="186"/>
      </rPr>
      <t>liikluskorralduse uuringud</t>
    </r>
  </si>
  <si>
    <t>Välisrahastusega projekt „SUMBA+" (ü)</t>
  </si>
  <si>
    <t>Biometaani transpordisektoris tarbimise toetus</t>
  </si>
  <si>
    <t>Kultuuri- ja Spordiameti haldusala</t>
  </si>
  <si>
    <t xml:space="preserve">Strateegiakeskuse haldusala </t>
  </si>
  <si>
    <t>Kultuuri- ja Spordiamet</t>
  </si>
  <si>
    <t>Jõe tn, Pronksi tn rekonstrueerimine</t>
  </si>
  <si>
    <t>Linnakantselei haldusala</t>
  </si>
  <si>
    <t>Strateegiakeskus</t>
  </si>
  <si>
    <t>Intressid antud laenudelt</t>
  </si>
  <si>
    <t>9. Transpordiamet</t>
  </si>
  <si>
    <t>Kesklinna uussisserändajate projekt – The project of immigrants of Tallinn City Center</t>
  </si>
  <si>
    <t>Välisrahastusega projekt „CitySCAPE - linnasisene küberturvaline multimodaalne transpordi ökosüsteem" (ü)</t>
  </si>
  <si>
    <t>KSA</t>
  </si>
  <si>
    <t>Esialgne eelarve</t>
  </si>
  <si>
    <t>Täpsustatud eelarve</t>
  </si>
  <si>
    <t>Linnavaraamet1</t>
  </si>
  <si>
    <t>LINNATRANSPORT</t>
  </si>
  <si>
    <t>Transpordiamet1</t>
  </si>
  <si>
    <t>Keskkonna- ja Kommunaalameti haldusala1</t>
  </si>
  <si>
    <r>
      <t>Linnaplaneerimise Amet</t>
    </r>
    <r>
      <rPr>
        <sz val="10"/>
        <color theme="0"/>
        <rFont val="Arial"/>
        <family val="2"/>
        <charset val="186"/>
      </rPr>
      <t>1</t>
    </r>
  </si>
  <si>
    <r>
      <t>Munitsipaalpolitsei Amet</t>
    </r>
    <r>
      <rPr>
        <sz val="10"/>
        <color theme="0"/>
        <rFont val="Arial"/>
        <family val="2"/>
        <charset val="186"/>
      </rPr>
      <t>1</t>
    </r>
  </si>
  <si>
    <t>Ametiasutuste haldusalad kokku</t>
  </si>
  <si>
    <t>töötasu</t>
  </si>
  <si>
    <t>Põhitaotlus</t>
  </si>
  <si>
    <t>Lisataotlus</t>
  </si>
  <si>
    <t>1.</t>
  </si>
  <si>
    <t>MAAS Tallinn - "Targa linna tippkeskus" Infovahetuse platvorm ühis- ja nõudepõhise transpordisüsteemi haldamiseks</t>
  </si>
  <si>
    <t>Välisrahastusega projekt MAAS Tallinn - "Targa linna tippkeskus" Infovahetuse platvorm ühis- ja nõudepõhise transpordisüsteemi haldamiseks (ü)</t>
  </si>
  <si>
    <t>Tulu varude müügist</t>
  </si>
  <si>
    <t>Kestliku arengu eesmärkide elluviimine linnades – SDGs in cities“ (Global Goals for Cities)</t>
  </si>
  <si>
    <t>Tallinna-Helsingi digitaalne dünaamiline rohemudel - Green Twins (Rohelised kaksiklinnad)</t>
  </si>
  <si>
    <t>Hoone suutlikkuse audit reaalajas - DigiAudit</t>
  </si>
  <si>
    <t>Kesklinna Linnaosa Valitsuse haldusala</t>
  </si>
  <si>
    <t xml:space="preserve">Lasnamäe rattatee ühendus kesklinnaga I etapp
</t>
  </si>
  <si>
    <t>üldhariduskoolidele COVID-19 kriisi tõttu tekkinud õpilünkade tasandamiseks vajaliku lisaõppe tagamise toetus</t>
  </si>
  <si>
    <t>VORM 2</t>
  </si>
  <si>
    <t>€ ilma komakohata</t>
  </si>
  <si>
    <t>%</t>
  </si>
  <si>
    <t xml:space="preserve">Lühiselgitused </t>
  </si>
  <si>
    <t>Lühiselgitused lisataotluse kohta</t>
  </si>
  <si>
    <t>VORM 1</t>
  </si>
  <si>
    <t>Ameti või linnaosa valitsuse haldusala nimi:</t>
  </si>
  <si>
    <t>Haldusala kokku</t>
  </si>
  <si>
    <t>Linnakassa tulud kokku</t>
  </si>
  <si>
    <t>Omatulud kokku</t>
  </si>
  <si>
    <t xml:space="preserve"> sh toetused riigilt tegevuskuludeks</t>
  </si>
  <si>
    <t>toetused riigilt investeeringuteks</t>
  </si>
  <si>
    <t>toetused riigilt finantseerimistehinguteks</t>
  </si>
  <si>
    <t>toetus välisprojektide kaasfinantseerimiseks tegevuskuludeks</t>
  </si>
  <si>
    <t>toetus välisprojektide kaasfinantseerimiseks investeeringuteks</t>
  </si>
  <si>
    <t>välisrahastus tegevuskuludeks</t>
  </si>
  <si>
    <t>välisrahastus investeeringuteks</t>
  </si>
  <si>
    <t xml:space="preserve"> sellest töötasu</t>
  </si>
  <si>
    <t>era- ja avaliku sektori koostööprojektidest tulenevad maksed</t>
  </si>
  <si>
    <t>Finantseerimistehingud kokku</t>
  </si>
  <si>
    <t>sellest era- ja avaliku sektori koostööprojektidest tulenevad maksed</t>
  </si>
  <si>
    <t>Amortisatsioon kokku</t>
  </si>
  <si>
    <t>Projekti kooskõlastused</t>
  </si>
  <si>
    <t>Linnavalitsuse liige:</t>
  </si>
  <si>
    <t>Ametiasutuse juht:</t>
  </si>
  <si>
    <t>Koostaja ees- ja perekonnanimi ning telefoninumber:</t>
  </si>
  <si>
    <t>Jrk. nr</t>
  </si>
  <si>
    <t>Selgitused</t>
  </si>
  <si>
    <t>9.</t>
  </si>
  <si>
    <t>VORM 3</t>
  </si>
  <si>
    <t>€ ilma komakohata, võimalusel ümardatuna kümnelisteni</t>
  </si>
  <si>
    <t>VORM 5</t>
  </si>
  <si>
    <t>Välisrahastusega projektid ja -programmid</t>
  </si>
  <si>
    <t>VORM 7</t>
  </si>
  <si>
    <t>Ametiasutus:</t>
  </si>
  <si>
    <t>Hallatava asutuse nimi:</t>
  </si>
  <si>
    <t>Jrk
nr</t>
  </si>
  <si>
    <t>Projekti 
nimetus</t>
  </si>
  <si>
    <t>Projekti
 eesmärk</t>
  </si>
  <si>
    <t>Projekti 
algus</t>
  </si>
  <si>
    <t>Projekti 
lõpp</t>
  </si>
  <si>
    <t xml:space="preserve">Välisabi puhul
abi vahendaja 
või andja </t>
  </si>
  <si>
    <t xml:space="preserve">Välisabi 
saaja
</t>
  </si>
  <si>
    <t>Projekti 
kogu-maksumus
(tuh kr)</t>
  </si>
  <si>
    <t>Finantseerimine*</t>
  </si>
  <si>
    <t>Toote/ eelarvepositsiooni nimetus</t>
  </si>
  <si>
    <t>(kuupäev, kuu, aasta)</t>
  </si>
  <si>
    <t>(linna asutus)</t>
  </si>
  <si>
    <t xml:space="preserve">finantseerimis-
allikas** </t>
  </si>
  <si>
    <t>summa</t>
  </si>
  <si>
    <t>Tegevuskulud</t>
  </si>
  <si>
    <t xml:space="preserve">1. </t>
  </si>
  <si>
    <t>1) linna vahendid</t>
  </si>
  <si>
    <r>
      <t xml:space="preserve">2) riigieelarve </t>
    </r>
    <r>
      <rPr>
        <sz val="8"/>
        <rFont val="Arial"/>
        <family val="2"/>
      </rPr>
      <t>(riigipoolne kaasfinantseerimine)</t>
    </r>
  </si>
  <si>
    <r>
      <t xml:space="preserve">3) välisrahastus </t>
    </r>
    <r>
      <rPr>
        <sz val="8"/>
        <rFont val="Arial"/>
        <family val="2"/>
      </rPr>
      <t>(sh riigieelarve kaudu välisrahastuse vahendamine)</t>
    </r>
  </si>
  <si>
    <t>4) muu (iga allikas eraldi)</t>
  </si>
  <si>
    <t>Vormi täitnud isiku ees- ja perekonnanimi ning telefoninumber:</t>
  </si>
  <si>
    <t>VORM 6</t>
  </si>
  <si>
    <t>Jrk.</t>
  </si>
  <si>
    <t>Ametiasutuse haldusala</t>
  </si>
  <si>
    <t>sellest</t>
  </si>
  <si>
    <t>nr.</t>
  </si>
  <si>
    <t>omatulude 
arvelt</t>
  </si>
  <si>
    <t>linnakassa arvelt</t>
  </si>
  <si>
    <t>toetuste arvelt</t>
  </si>
  <si>
    <t>Kristiine Linnaosa Valitsus</t>
  </si>
  <si>
    <t>Summa ja selgitus</t>
  </si>
  <si>
    <t>1 328 110 € piletimajandus;</t>
  </si>
  <si>
    <t>Jrk nr</t>
  </si>
  <si>
    <t>Valdkond</t>
  </si>
  <si>
    <t>Eelarvepositsioon</t>
  </si>
  <si>
    <t>Kulu sisu</t>
  </si>
  <si>
    <t>Kulud lisanduvad alates 
(kuu või kuupäev)</t>
  </si>
  <si>
    <r>
      <t xml:space="preserve">Lisanduv/suurenev </t>
    </r>
    <r>
      <rPr>
        <b/>
        <u/>
        <sz val="10"/>
        <rFont val="Calibri"/>
        <family val="2"/>
        <charset val="186"/>
        <scheme val="minor"/>
      </rPr>
      <t xml:space="preserve">linnakassa kulu </t>
    </r>
    <r>
      <rPr>
        <b/>
        <sz val="10"/>
        <rFont val="Calibri"/>
        <family val="2"/>
        <charset val="186"/>
        <scheme val="minor"/>
      </rPr>
      <t>kokku* 
€</t>
    </r>
  </si>
  <si>
    <t>Ametiasutuse haldusala 2023. aasta eelarve projekti koond asutuste lõikes</t>
  </si>
  <si>
    <t xml:space="preserve"> kuni 31.12.21</t>
  </si>
  <si>
    <t>2021.a. 2022. a-se üle-kantud</t>
  </si>
  <si>
    <t xml:space="preserve"> 2022 täps.
eelarve</t>
  </si>
  <si>
    <t>2026 ja järgmised aastad kokku</t>
  </si>
  <si>
    <t>Asendusistutustasud</t>
  </si>
  <si>
    <t>Saadud kindlustushüvitised</t>
  </si>
  <si>
    <t>Leppetrahvid</t>
  </si>
  <si>
    <t xml:space="preserve">Linnavolikogu Kantselei  </t>
  </si>
  <si>
    <t>2022 lisaeelarve</t>
  </si>
  <si>
    <t>2022 esialgne eelarve</t>
  </si>
  <si>
    <t>2022 teine lisaeelarve</t>
  </si>
  <si>
    <t>2022 täpsustatud eelarve</t>
  </si>
  <si>
    <t>2023 projekt</t>
  </si>
  <si>
    <t>2023/2022 muutus</t>
  </si>
  <si>
    <t xml:space="preserve">üldhariduskoolidele toetus COVID-19 kiirtestide soetamiseks </t>
  </si>
  <si>
    <t>kultuuriranitsa toetus</t>
  </si>
  <si>
    <t>Tallinna Linnateatrile tegevuskuludeks</t>
  </si>
  <si>
    <t>energiahinna tõusu leevendusmeede (Sotsiaal- ja Tervishoiuamet)</t>
  </si>
  <si>
    <t>muinsuskaitsealaste riiklike kohustuste täitmine</t>
  </si>
  <si>
    <t>koolide ventilatsioonide parendustööd</t>
  </si>
  <si>
    <t>Rannamõisa tee juhtumipõhine toetus</t>
  </si>
  <si>
    <t xml:space="preserve">Merivälja Lasteaed </t>
  </si>
  <si>
    <t>hoiuste suurendamiseks</t>
  </si>
  <si>
    <t>Ukraina sõjapõgenikele vältimatu abi andmise
kulude hüvitamine</t>
  </si>
  <si>
    <t>Toetus välisprojektide kaasfinantseerimiseks</t>
  </si>
  <si>
    <t>"Bicification: jalgrattakrediit"</t>
  </si>
  <si>
    <t>Tallinn Card City Guide mobiilirakendus</t>
  </si>
  <si>
    <t>Tallinn - Euroopa roheline pealinn</t>
  </si>
  <si>
    <t>Kliimamuutuste leevendamise viisid - KNOWING</t>
  </si>
  <si>
    <t>School Food for Change</t>
  </si>
  <si>
    <t xml:space="preserve">Mobiilsusteenuse (MAAS) rakendamine Eesti linnade ühis- ja eratranspordi ühendamiseks </t>
  </si>
  <si>
    <t>Ülemiste terminali ja Vanasadama vaheline trammitee</t>
  </si>
  <si>
    <t>Projekt "CoastNet LIFE - rannikuelupaikade taastamine"</t>
  </si>
  <si>
    <t>Jakob Westholmi Gümnaasiumi juurdeehitus</t>
  </si>
  <si>
    <t>Tallinna Reaalkooli juurdeehitus</t>
  </si>
  <si>
    <t>Tallinna Haigla</t>
  </si>
  <si>
    <t>Uute trammide soetamine (Tallinna Linnatranspordi AS)</t>
  </si>
  <si>
    <r>
      <t>Annetused (</t>
    </r>
    <r>
      <rPr>
        <b/>
        <sz val="8"/>
        <rFont val="Arial"/>
        <family val="2"/>
        <charset val="186"/>
      </rPr>
      <t>Tallinna Lastekodu)</t>
    </r>
  </si>
  <si>
    <t>Ringmajanduse väärtusahelate süsteemsed paikkondlikud laiendused - TREASOURCE</t>
  </si>
  <si>
    <t>LK muudatus 2023</t>
  </si>
  <si>
    <t>2023 OT ja toetused</t>
  </si>
  <si>
    <t>Eelarve valdkond</t>
  </si>
  <si>
    <t>Haldusala</t>
  </si>
  <si>
    <t>Arengustrateegia 
valdkond 
(vali rippmenüüst)</t>
  </si>
  <si>
    <t>Tegevusprogramm 
(vali rippmenüüst)</t>
  </si>
  <si>
    <t>Esialgne 
eelarve</t>
  </si>
  <si>
    <t>I lisaeelarve</t>
  </si>
  <si>
    <t>II lisaeelarve</t>
  </si>
  <si>
    <t>Tööjõukulude reservi jaotus</t>
  </si>
  <si>
    <t>2022 OT arvelt</t>
  </si>
  <si>
    <t>2022 toetuste arvelt</t>
  </si>
  <si>
    <t>2022 LK arvelt</t>
  </si>
  <si>
    <t>Alampalk</t>
  </si>
  <si>
    <t>Noorsoo-
töötajate palgatõus</t>
  </si>
  <si>
    <t>Hariduse palgatõus</t>
  </si>
  <si>
    <t>Muud palgatõusud</t>
  </si>
  <si>
    <t>II LEA-st uued kohad</t>
  </si>
  <si>
    <t>Haldusalade-vahelised ümberpaigutused</t>
  </si>
  <si>
    <t>PPP muudatus</t>
  </si>
  <si>
    <t xml:space="preserve">LK arvelt juurde v.a PPP (+) </t>
  </si>
  <si>
    <t>LK arvelt maha v.a PPP (-)</t>
  </si>
  <si>
    <t>LK muudatus kokku</t>
  </si>
  <si>
    <t>OT arvelt (kogusumma)</t>
  </si>
  <si>
    <t>RE arvelt (kogusumma)</t>
  </si>
  <si>
    <t>VR arvelt (kogusumma)</t>
  </si>
  <si>
    <t>* Eelarve täitmisel on lubatud soetada fooriobjektide hooldusremondi teostamiseks vajalikku materiaalset ja/või immateriaalset põhivara.
Eelarve täitmisel on valdkonna abilinnapeal õigus muuta summade jaotust eelarvepositsiooni üldsumma piires.</t>
  </si>
  <si>
    <t>Tootegrupp: parkimiskorraldus (a)</t>
  </si>
  <si>
    <r>
      <t xml:space="preserve">Muud linnatranspordi kulud </t>
    </r>
    <r>
      <rPr>
        <u/>
        <sz val="10"/>
        <color rgb="FF0070C0"/>
        <rFont val="Arial"/>
        <family val="2"/>
        <charset val="186"/>
      </rPr>
      <t>*</t>
    </r>
  </si>
  <si>
    <t>liiklussimulatsioonimudel (ü)</t>
  </si>
  <si>
    <t>välisrahastuse arvelt    100%</t>
  </si>
  <si>
    <t>Välisrahastusega projekt MAAS - "Mobiilsusteenuse (MAAS) rakendamine Eesti linnade ühis- ja eratranspordi ühendamiseks" (ü)</t>
  </si>
  <si>
    <t>välisrahastuse arvelt   50%</t>
  </si>
  <si>
    <t>2023. aasta tegevuskulude piirsummad ametiasutuste haldusalade lõikes</t>
  </si>
  <si>
    <t>2023 piirsumma</t>
  </si>
  <si>
    <t xml:space="preserve">104 198 500 € liinivedu, sellest 2 580 000 € liinivedu rongiga; </t>
  </si>
  <si>
    <t>2 971 600 € liikluskorraldus;</t>
  </si>
  <si>
    <t>1 038 787 € parkimiskorraldus.</t>
  </si>
  <si>
    <t>2023. aastal lisanduvad kulud</t>
  </si>
  <si>
    <t xml:space="preserve">Transpordiamet </t>
  </si>
  <si>
    <t>Toode: Liinivedu</t>
  </si>
  <si>
    <t>Katteallika vahetus (LK suureneb, seoses biometaani toetuse lõppemisega)</t>
  </si>
  <si>
    <t>TLT-l ja linnal on kohustus 7 aastat bussides kütusena biometaani kasutama, seega kulud ei vähene võrreldes 2022. aastaga</t>
  </si>
  <si>
    <t>Toode: Liikluskorraldus
sh: Liikluskorraldusvahendid</t>
  </si>
  <si>
    <t xml:space="preserve">Reidi teele paigaldatud kiiruskaamerad (3 tk) opereerimiseks. </t>
  </si>
  <si>
    <t xml:space="preserve">Otsustatud 2022 II LEAga </t>
  </si>
  <si>
    <t>Välisprojekt MAAS - "Mobiilsusteenuse (MAAS) rakendamine Eesti linnade ühis- ja eratranspordi ühendamiseks</t>
  </si>
  <si>
    <t>LK suureneb välisprojekti OF vörra</t>
  </si>
  <si>
    <t>Piirsumma (infoks)</t>
  </si>
  <si>
    <t>V1_ETTEVÕTLUSKESKKOND</t>
  </si>
  <si>
    <t>V1_TP.1: Ettevõtlik elustiil, kasvuambitsiooniga ettevõtjad, tipptasemel teadmised ja oskused</t>
  </si>
  <si>
    <t>V2_TP.1: Tipptasemel juhtimine</t>
  </si>
  <si>
    <t>V3_TP.1: Mitmekesine ja elurikas linnaloodus</t>
  </si>
  <si>
    <t>V4_TP.1: Kohalolek</t>
  </si>
  <si>
    <t>V5_TP.1: Rikkalik ja kättesaadav kultuurikalender</t>
  </si>
  <si>
    <t>V6_TP.1: Terviklik ja ohutu tänavaruum</t>
  </si>
  <si>
    <t>V7_TP.1: Haljastu nutikas eluring</t>
  </si>
  <si>
    <t>V8_TP.1: Arengustsenaariumid, planeerimise põhimõtted ja juhised</t>
  </si>
  <si>
    <t>V9_TP.1: Otstarbekalt kasutatud linnamaa</t>
  </si>
  <si>
    <t>V10_TP.1: Laste heaolu</t>
  </si>
  <si>
    <t>V11_TP.1: Ülelinnaline spordi- ja liikumispaikade võrk</t>
  </si>
  <si>
    <t>V12_TP.1: Veevarustus</t>
  </si>
  <si>
    <t>V13_TP.1: Laste ja noorte tervise ning turvalise arengu tagamine</t>
  </si>
  <si>
    <t>V14_TP.1: Inimesekeskne teenuste disain</t>
  </si>
  <si>
    <t>V2_HARIDUS</t>
  </si>
  <si>
    <t>V1_TP.2: Rahvusvahelistumisele avatud keskkond ning koostöö valdkonna huvigruppide vahel</t>
  </si>
  <si>
    <t>V2_TP.2: Pädev ja pühendunud õpetaja</t>
  </si>
  <si>
    <t>V3_TP.2: Puhas vesi</t>
  </si>
  <si>
    <t>V4_TP.2: Ennetustöö</t>
  </si>
  <si>
    <t>V5_TP.2: Ligipääsetav mälu ja elukestev õpe</t>
  </si>
  <si>
    <t>V6_TP.2: Kiire ja mugav ühistransport</t>
  </si>
  <si>
    <t>V7_TP.2: Kalmistud ja matuseteenused</t>
  </si>
  <si>
    <t>V8_TP.2: Üld- ja teemaplaneeringud ning linnaruumilise arengu ettepanekud</t>
  </si>
  <si>
    <t>V9_TP.2: Heaperemehelikult majandatud ja keskkonnasäästlik kinnisvarakeskkond</t>
  </si>
  <si>
    <t>V10_TP.2: Puuetega inimeste hoolekanne</t>
  </si>
  <si>
    <t>V11_TP.2: Organiseeritud sporditegevus</t>
  </si>
  <si>
    <t>V12_TP.2: Reoveesüsteemid</t>
  </si>
  <si>
    <t>V13_TP.2: Kõigile abivajajatele kättesaadavad parimal nüüdisaegsel tasemel tervishoiuteenused</t>
  </si>
  <si>
    <t>V14_TP.2: Andmepõhine juhtimine</t>
  </si>
  <si>
    <t>V3_KESKKONNAHOID</t>
  </si>
  <si>
    <t>V1_TP.3: Targa linna programm</t>
  </si>
  <si>
    <t>V2_TP.3: Hariduslike erivajadustega õpilaste areng</t>
  </si>
  <si>
    <t>V3_TP.3: Puhas õhk</t>
  </si>
  <si>
    <t>V4_TP.3: Järelevalve</t>
  </si>
  <si>
    <t>V5_TP.3: Mitmekülgsed võimalused kultuuritegevuseks</t>
  </si>
  <si>
    <t>V6_TP.3: Mugav rattaliiklus</t>
  </si>
  <si>
    <t>V7_TP.3: Laste mängukohad</t>
  </si>
  <si>
    <t>V8_TP.3: Detailplaneeringud</t>
  </si>
  <si>
    <t>V9_TP.3: Abivajajatele ja linnale olulistele töötajatele on tagatud elamispinnad</t>
  </si>
  <si>
    <t>V10_TP.3: Toimetulekuraskutes inimeste hoolekanne ja hoolekanne kriisisituatsioonides</t>
  </si>
  <si>
    <t>V11_TP.3: Mainekas spordisündmuste võõrustaja</t>
  </si>
  <si>
    <t>V12_TP.3: Sademeveekanalisatsioon</t>
  </si>
  <si>
    <t>V13_TP.3: Tervist toetav elu-, töö- ja õpikeskkond</t>
  </si>
  <si>
    <t>V14_TP.3: Strateegiline ja finantsplaneerimine</t>
  </si>
  <si>
    <t>V4_KORRAKAITSE</t>
  </si>
  <si>
    <t>V1_TP.4: Atraktiivne füüsiline keskkond ettevõtluse arenguks</t>
  </si>
  <si>
    <t>V2_TP.4: Inspireeriv ja uuenduslik õppimine</t>
  </si>
  <si>
    <t>V3_TP.4: Vähem müra</t>
  </si>
  <si>
    <t xml:space="preserve">V5_TP.4: Laulu- ja tantsupidude linn </t>
  </si>
  <si>
    <t>V6_TP.4: Uued tehnoloogiad ja teenused</t>
  </si>
  <si>
    <t>V7_TP.4: Loomakaitse</t>
  </si>
  <si>
    <t>V8_TP.4: Ehitustegevus</t>
  </si>
  <si>
    <t>V9_TP.4: Hästi toimiv koostöö erasektoriga kinnisvara korrashoidmisel ja arendamisel (koostöös ettevõtluskeskkonna valdkonnaga)</t>
  </si>
  <si>
    <t>V10_TP.4: Eakate hoolekanne</t>
  </si>
  <si>
    <t>V11_TP.4: Teadlikkuse parandamine</t>
  </si>
  <si>
    <t>V12_TP.4: Energiasüsteemid</t>
  </si>
  <si>
    <t>V13_TP.4: Tervislikum eluviis, tervislikud valikud</t>
  </si>
  <si>
    <t>V14_TP.4: Selge kommunikatsioon</t>
  </si>
  <si>
    <t>V5_KULTUUR</t>
  </si>
  <si>
    <t>V1_TP.5: Turismisihtkoha tuntus ja tasakaalustatud turismiarendus</t>
  </si>
  <si>
    <t>V2_TP.5: Individuaalne õpitee</t>
  </si>
  <si>
    <t>V3_TP.5: Jäätmehooldus</t>
  </si>
  <si>
    <t>V5_TP.5: Kultuuriliselt lõimunud Tallinn</t>
  </si>
  <si>
    <t>V6_TP.5: Regionaalne ja rahvusvaheline liikuvus</t>
  </si>
  <si>
    <t>V7_TP.5: Heakord</t>
  </si>
  <si>
    <t>V8_TP.5: Geomaatika</t>
  </si>
  <si>
    <t>V9_TP.5: Korteriomanike ja -ühistute nõustamine, sh vaidluste ja koostööprobleemide lahendamine ning toetusmeetmete rakendamine</t>
  </si>
  <si>
    <t>V10_TP.5: Sotsiaaltoetused</t>
  </si>
  <si>
    <t>V12_TP.5: Tänavavalgustus</t>
  </si>
  <si>
    <t>V14_TP.5: Kvaliteetne juhtimine ja kompetentsed töötajad</t>
  </si>
  <si>
    <t>V6_LIIKUVUS</t>
  </si>
  <si>
    <t>V2_TP.6: Tasakaalus ja mitmekesine haridusvõrk</t>
  </si>
  <si>
    <t>V3_TP.6: Keskkonnateadlikud linlased</t>
  </si>
  <si>
    <t>V5_TP.6: Kodanikuühendused lisavad naabruskondadele värvi</t>
  </si>
  <si>
    <t>V6_TP.6: Linnakeskkonda sobiv parkimine</t>
  </si>
  <si>
    <t>V8_TP.6: Muinsuskaitse</t>
  </si>
  <si>
    <t>V9_TP.6: Maatoimingud</t>
  </si>
  <si>
    <t>V14_TP.6: Regionaalne ja rahvusvaheline koostöö</t>
  </si>
  <si>
    <t>V7_LINNAMAASTIK</t>
  </si>
  <si>
    <t>V2_TP.7: Tänapäevane ja arendav noorsootöö</t>
  </si>
  <si>
    <t>V6_TP.7: Liikluse juhtimine ja planeerimine</t>
  </si>
  <si>
    <t>V8_TP.7: Ligipääsetavuse poliitika ja järelvalve</t>
  </si>
  <si>
    <t>V14_TP.7: Perekonnaseisu- ja rahvastikuteenused</t>
  </si>
  <si>
    <t>V8_LINNAPLANEERIMINE</t>
  </si>
  <si>
    <t>V14_TP.8: Tallinna ajaloo arhiveerimine, uurimine ja tutvustamine</t>
  </si>
  <si>
    <t>V9_LINNAVARA</t>
  </si>
  <si>
    <t>V10_SOTSIAALHOOLEKANNE</t>
  </si>
  <si>
    <t>V11_SPORT</t>
  </si>
  <si>
    <t>V12_TEHNOVÕRGUD</t>
  </si>
  <si>
    <t>V13_TERVISHOID</t>
  </si>
  <si>
    <t>V14_JUHTIMINE</t>
  </si>
  <si>
    <t>ADMINISTRATIIVKULUD</t>
  </si>
  <si>
    <t>Vali loetelust!</t>
  </si>
  <si>
    <t>sellest 
a) teenuste tagamiseks 2022. aasta mahus (olemasoleva teenuse kallinemine)</t>
  </si>
  <si>
    <t>b) uued algatused (sh uued teenused ja üritused)  ning sihtrühmade laiendamine ja toetuste määrade suurendamine</t>
  </si>
  <si>
    <t>2023 LISATAOTLUSED</t>
  </si>
  <si>
    <t>Lisataotlus KOKKU (a+b)</t>
  </si>
  <si>
    <t>PROJEKT (sisestada)</t>
  </si>
  <si>
    <t>Tallinna Transpordiamet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</si>
</sst>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kr&quot;_-;\-* #,##0.00\ &quot;kr&quot;_-;_-* &quot;-&quot;??\ &quot;kr&quot;_-;_-@_-"/>
    <numFmt numFmtId="165" formatCode="_-* #,##0.00\ _k_r_-;\-* #,##0.00\ _k_r_-;_-* &quot;-&quot;??\ _k_r_-;_-@_-"/>
    <numFmt numFmtId="166" formatCode="#,##0.0"/>
    <numFmt numFmtId="167" formatCode="_-* #,##0.00\ _k_r_-;\-* #,##0.00\ _k_r_-;_-* \-??\ _k_r_-;_-@_-"/>
  </numFmts>
  <fonts count="110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63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  <charset val="186"/>
    </font>
    <font>
      <b/>
      <i/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2"/>
      <name val="Arial"/>
      <family val="2"/>
      <charset val="186"/>
    </font>
    <font>
      <u/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2"/>
      <name val="Arial"/>
      <family val="2"/>
      <charset val="186"/>
    </font>
    <font>
      <i/>
      <sz val="9"/>
      <name val="Arial"/>
      <family val="2"/>
      <charset val="186"/>
    </font>
    <font>
      <sz val="8"/>
      <name val="Arial"/>
      <family val="2"/>
    </font>
    <font>
      <sz val="9"/>
      <name val="Arial"/>
      <family val="2"/>
      <charset val="186"/>
    </font>
    <font>
      <b/>
      <i/>
      <sz val="11"/>
      <name val="Arial"/>
      <family val="2"/>
      <charset val="186"/>
    </font>
    <font>
      <sz val="10"/>
      <color rgb="FFFF0000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Mangal"/>
      <family val="2"/>
    </font>
    <font>
      <u/>
      <sz val="8.5"/>
      <color indexed="12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rgb="FF0070C0"/>
      <name val="Arial"/>
      <family val="2"/>
      <charset val="186"/>
    </font>
    <font>
      <i/>
      <sz val="9"/>
      <color rgb="FF0070C0"/>
      <name val="Arial"/>
      <family val="2"/>
      <charset val="186"/>
    </font>
    <font>
      <i/>
      <sz val="8"/>
      <color rgb="FF0070C0"/>
      <name val="Arial"/>
      <family val="2"/>
      <charset val="186"/>
    </font>
    <font>
      <sz val="10"/>
      <name val="Arial"/>
      <family val="2"/>
      <charset val="186"/>
    </font>
    <font>
      <i/>
      <sz val="10"/>
      <color rgb="FF0070C0"/>
      <name val="Arial"/>
      <family val="2"/>
      <charset val="186"/>
    </font>
    <font>
      <sz val="8"/>
      <color rgb="FF0070C0"/>
      <name val="Arial"/>
      <family val="2"/>
      <charset val="186"/>
    </font>
    <font>
      <sz val="10"/>
      <color indexed="17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8"/>
      <name val="Arial"/>
      <family val="2"/>
      <charset val="186"/>
    </font>
    <font>
      <i/>
      <sz val="10"/>
      <color rgb="FF0070C0"/>
      <name val="Arial"/>
      <family val="2"/>
    </font>
    <font>
      <b/>
      <sz val="10"/>
      <name val="Times New Roman"/>
      <family val="1"/>
      <charset val="186"/>
    </font>
    <font>
      <sz val="10"/>
      <name val="Calibri"/>
      <family val="2"/>
      <charset val="186"/>
      <scheme val="minor"/>
    </font>
    <font>
      <i/>
      <sz val="9"/>
      <color rgb="FFFF0000"/>
      <name val="Arial"/>
      <family val="2"/>
      <charset val="186"/>
    </font>
    <font>
      <u/>
      <sz val="10"/>
      <color rgb="FF0070C0"/>
      <name val="Arial"/>
      <family val="2"/>
      <charset val="186"/>
    </font>
    <font>
      <sz val="9"/>
      <color rgb="FF0070C0"/>
      <name val="Arial"/>
      <family val="2"/>
      <charset val="186"/>
    </font>
    <font>
      <sz val="10"/>
      <color theme="0"/>
      <name val="Arial"/>
      <family val="2"/>
      <charset val="186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Calibri"/>
      <family val="2"/>
      <charset val="186"/>
      <scheme val="minor"/>
    </font>
    <font>
      <sz val="10"/>
      <name val="Times New Roman"/>
      <family val="1"/>
      <charset val="186"/>
    </font>
    <font>
      <u/>
      <sz val="10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b/>
      <u/>
      <sz val="10"/>
      <name val="Calibri"/>
      <family val="2"/>
      <charset val="186"/>
      <scheme val="minor"/>
    </font>
    <font>
      <b/>
      <sz val="10"/>
      <color rgb="FFFF0000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b/>
      <sz val="10"/>
      <color theme="6" tint="0.79998168889431442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sz val="9"/>
      <color rgb="FFFF0000"/>
      <name val="Arial"/>
      <family val="2"/>
      <charset val="186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  <charset val="186"/>
    </font>
    <font>
      <b/>
      <sz val="12"/>
      <color rgb="FF0070C0"/>
      <name val="Arial"/>
      <family val="2"/>
      <charset val="186"/>
    </font>
    <font>
      <b/>
      <sz val="11"/>
      <color rgb="FF0070C0"/>
      <name val="Arial"/>
      <family val="2"/>
      <charset val="186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8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46" fillId="0" borderId="0"/>
    <xf numFmtId="0" fontId="47" fillId="0" borderId="0"/>
    <xf numFmtId="0" fontId="27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/>
    <xf numFmtId="0" fontId="53" fillId="4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13" fillId="0" borderId="0"/>
    <xf numFmtId="0" fontId="13" fillId="0" borderId="0"/>
    <xf numFmtId="0" fontId="13" fillId="23" borderId="7" applyNumberFormat="0" applyFont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8" fillId="3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0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53" fillId="24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65" fillId="7" borderId="1" applyNumberFormat="0" applyAlignment="0" applyProtection="0"/>
    <xf numFmtId="0" fontId="66" fillId="0" borderId="6" applyNumberFormat="0" applyFill="0" applyAlignment="0" applyProtection="0"/>
    <xf numFmtId="0" fontId="67" fillId="22" borderId="0" applyNumberFormat="0" applyBorder="0" applyAlignment="0" applyProtection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4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6" fillId="23" borderId="7" applyNumberFormat="0" applyFont="0" applyAlignment="0" applyProtection="0"/>
    <xf numFmtId="0" fontId="68" fillId="20" borderId="8" applyNumberFormat="0" applyAlignment="0" applyProtection="0"/>
    <xf numFmtId="9" fontId="13" fillId="0" borderId="0" applyFont="0" applyFill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29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13" fillId="23" borderId="7" applyNumberFormat="0" applyFont="0" applyAlignment="0" applyProtection="0"/>
    <xf numFmtId="0" fontId="55" fillId="0" borderId="0"/>
    <xf numFmtId="0" fontId="12" fillId="0" borderId="0"/>
    <xf numFmtId="0" fontId="13" fillId="0" borderId="0"/>
    <xf numFmtId="0" fontId="13" fillId="0" borderId="0"/>
    <xf numFmtId="9" fontId="76" fillId="0" borderId="0" applyFont="0" applyFill="0" applyBorder="0" applyAlignment="0" applyProtection="0"/>
    <xf numFmtId="0" fontId="13" fillId="0" borderId="0"/>
    <xf numFmtId="0" fontId="11" fillId="0" borderId="0"/>
    <xf numFmtId="0" fontId="13" fillId="0" borderId="0"/>
    <xf numFmtId="0" fontId="10" fillId="0" borderId="0"/>
    <xf numFmtId="0" fontId="9" fillId="0" borderId="0"/>
    <xf numFmtId="0" fontId="8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7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3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3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7" fillId="0" borderId="0"/>
    <xf numFmtId="0" fontId="4" fillId="0" borderId="0"/>
    <xf numFmtId="0" fontId="3" fillId="0" borderId="0"/>
    <xf numFmtId="4" fontId="80" fillId="0" borderId="14" applyAlignment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466">
    <xf numFmtId="0" fontId="0" fillId="0" borderId="0" xfId="0"/>
    <xf numFmtId="0" fontId="33" fillId="0" borderId="0" xfId="0" applyFont="1" applyFill="1" applyBorder="1"/>
    <xf numFmtId="0" fontId="27" fillId="0" borderId="0" xfId="0" applyFont="1" applyFill="1" applyBorder="1" applyAlignment="1">
      <alignment horizontal="right"/>
    </xf>
    <xf numFmtId="0" fontId="34" fillId="0" borderId="0" xfId="0" applyFont="1" applyFill="1"/>
    <xf numFmtId="3" fontId="35" fillId="0" borderId="0" xfId="0" applyNumberFormat="1" applyFont="1" applyFill="1" applyAlignment="1">
      <alignment vertical="top"/>
    </xf>
    <xf numFmtId="0" fontId="13" fillId="0" borderId="0" xfId="0" applyFont="1" applyFill="1"/>
    <xf numFmtId="0" fontId="13" fillId="0" borderId="0" xfId="0" applyFont="1" applyFill="1" applyAlignment="1">
      <alignment horizontal="left" indent="2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Alignment="1"/>
    <xf numFmtId="3" fontId="34" fillId="0" borderId="0" xfId="0" applyNumberFormat="1" applyFont="1" applyFill="1" applyAlignment="1"/>
    <xf numFmtId="0" fontId="13" fillId="0" borderId="0" xfId="0" applyFont="1"/>
    <xf numFmtId="0" fontId="34" fillId="0" borderId="0" xfId="0" applyFont="1" applyFill="1" applyBorder="1"/>
    <xf numFmtId="0" fontId="37" fillId="0" borderId="0" xfId="0" applyFont="1" applyFill="1" applyBorder="1"/>
    <xf numFmtId="0" fontId="44" fillId="0" borderId="0" xfId="0" applyFont="1" applyFill="1" applyBorder="1"/>
    <xf numFmtId="3" fontId="34" fillId="0" borderId="0" xfId="0" applyNumberFormat="1" applyFont="1"/>
    <xf numFmtId="0" fontId="34" fillId="0" borderId="0" xfId="0" applyFont="1"/>
    <xf numFmtId="3" fontId="13" fillId="0" borderId="0" xfId="0" applyNumberFormat="1" applyFont="1"/>
    <xf numFmtId="0" fontId="51" fillId="0" borderId="0" xfId="0" applyFont="1" applyFill="1" applyBorder="1"/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0" fontId="0" fillId="0" borderId="0" xfId="0"/>
    <xf numFmtId="0" fontId="44" fillId="0" borderId="0" xfId="0" applyFont="1"/>
    <xf numFmtId="0" fontId="44" fillId="0" borderId="0" xfId="0" applyFont="1" applyFill="1"/>
    <xf numFmtId="3" fontId="13" fillId="0" borderId="0" xfId="0" applyNumberFormat="1" applyFont="1" applyFill="1"/>
    <xf numFmtId="14" fontId="34" fillId="0" borderId="0" xfId="0" applyNumberFormat="1" applyFont="1" applyFill="1" applyBorder="1" applyAlignment="1">
      <alignment horizontal="left"/>
    </xf>
    <xf numFmtId="3" fontId="0" fillId="0" borderId="0" xfId="0" applyNumberFormat="1" applyBorder="1"/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/>
    </xf>
    <xf numFmtId="0" fontId="35" fillId="0" borderId="0" xfId="0" applyNumberFormat="1" applyFont="1" applyFill="1" applyAlignment="1">
      <alignment horizontal="left" vertical="top" indent="3"/>
    </xf>
    <xf numFmtId="0" fontId="13" fillId="0" borderId="0" xfId="0" applyFont="1" applyAlignment="1">
      <alignment horizontal="left" indent="2"/>
    </xf>
    <xf numFmtId="0" fontId="13" fillId="0" borderId="0" xfId="0" applyFont="1" applyAlignment="1">
      <alignment horizontal="left" wrapText="1"/>
    </xf>
    <xf numFmtId="3" fontId="72" fillId="0" borderId="0" xfId="0" applyNumberFormat="1" applyFont="1"/>
    <xf numFmtId="0" fontId="48" fillId="0" borderId="0" xfId="35" applyNumberFormat="1" applyFont="1" applyFill="1" applyBorder="1" applyAlignment="1" applyProtection="1">
      <alignment horizontal="left" vertical="top" indent="2"/>
    </xf>
    <xf numFmtId="0" fontId="48" fillId="0" borderId="0" xfId="35" applyNumberFormat="1" applyFont="1" applyFill="1" applyBorder="1" applyAlignment="1" applyProtection="1">
      <alignment horizontal="left" vertical="top" indent="3"/>
    </xf>
    <xf numFmtId="0" fontId="34" fillId="0" borderId="0" xfId="0" applyNumberFormat="1" applyFont="1" applyFill="1" applyAlignment="1">
      <alignment horizontal="left" vertical="top" indent="2"/>
    </xf>
    <xf numFmtId="0" fontId="13" fillId="0" borderId="0" xfId="31" applyNumberFormat="1" applyFont="1" applyFill="1" applyBorder="1" applyAlignment="1" applyProtection="1">
      <alignment horizontal="left" vertical="top" wrapText="1" indent="2"/>
    </xf>
    <xf numFmtId="0" fontId="35" fillId="0" borderId="0" xfId="0" applyNumberFormat="1" applyFont="1" applyFill="1" applyAlignment="1">
      <alignment horizontal="left" indent="1"/>
    </xf>
    <xf numFmtId="49" fontId="42" fillId="0" borderId="0" xfId="0" quotePrefix="1" applyNumberFormat="1" applyFont="1" applyFill="1" applyAlignment="1">
      <alignment horizontal="left" indent="1"/>
    </xf>
    <xf numFmtId="0" fontId="13" fillId="0" borderId="0" xfId="0" applyFont="1" applyAlignment="1">
      <alignment horizontal="right"/>
    </xf>
    <xf numFmtId="0" fontId="34" fillId="0" borderId="0" xfId="0" applyFont="1" applyAlignment="1">
      <alignment horizontal="right" wrapText="1" indent="1"/>
    </xf>
    <xf numFmtId="3" fontId="80" fillId="0" borderId="0" xfId="0" applyNumberFormat="1" applyFont="1"/>
    <xf numFmtId="0" fontId="34" fillId="0" borderId="0" xfId="0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52" fillId="0" borderId="0" xfId="0" applyFont="1" applyFill="1" applyBorder="1"/>
    <xf numFmtId="3" fontId="13" fillId="0" borderId="0" xfId="31" applyNumberFormat="1" applyFont="1" applyFill="1" applyBorder="1" applyAlignment="1" applyProtection="1">
      <alignment vertical="top" wrapText="1"/>
    </xf>
    <xf numFmtId="3" fontId="42" fillId="0" borderId="0" xfId="31" applyNumberFormat="1" applyFont="1" applyFill="1" applyBorder="1" applyAlignment="1" applyProtection="1">
      <alignment vertical="top" wrapText="1"/>
    </xf>
    <xf numFmtId="0" fontId="13" fillId="0" borderId="0" xfId="0" applyFont="1" applyAlignment="1">
      <alignment horizontal="right"/>
    </xf>
    <xf numFmtId="4" fontId="33" fillId="0" borderId="0" xfId="0" applyNumberFormat="1" applyFont="1" applyFill="1" applyBorder="1" applyAlignment="1"/>
    <xf numFmtId="4" fontId="44" fillId="0" borderId="0" xfId="0" applyNumberFormat="1" applyFont="1" applyFill="1"/>
    <xf numFmtId="4" fontId="44" fillId="0" borderId="0" xfId="0" applyNumberFormat="1" applyFont="1" applyFill="1" applyBorder="1" applyAlignment="1"/>
    <xf numFmtId="0" fontId="13" fillId="0" borderId="0" xfId="48" applyFont="1"/>
    <xf numFmtId="3" fontId="13" fillId="0" borderId="0" xfId="48" applyNumberFormat="1" applyFont="1"/>
    <xf numFmtId="3" fontId="34" fillId="0" borderId="0" xfId="48" applyNumberFormat="1" applyFont="1"/>
    <xf numFmtId="0" fontId="13" fillId="0" borderId="0" xfId="31" applyNumberFormat="1" applyFont="1" applyFill="1" applyBorder="1" applyAlignment="1" applyProtection="1">
      <alignment horizontal="left" vertical="top" wrapText="1" indent="3"/>
    </xf>
    <xf numFmtId="0" fontId="42" fillId="0" borderId="0" xfId="31" applyNumberFormat="1" applyFont="1" applyFill="1" applyBorder="1" applyAlignment="1" applyProtection="1">
      <alignment horizontal="left" vertical="top" wrapText="1" indent="1"/>
    </xf>
    <xf numFmtId="3" fontId="13" fillId="0" borderId="0" xfId="48" applyNumberFormat="1" applyFont="1"/>
    <xf numFmtId="0" fontId="32" fillId="0" borderId="0" xfId="48" applyFont="1" applyAlignment="1">
      <alignment vertical="top" wrapText="1"/>
    </xf>
    <xf numFmtId="3" fontId="32" fillId="0" borderId="0" xfId="48" applyNumberFormat="1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  <xf numFmtId="164" fontId="83" fillId="0" borderId="10" xfId="86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2" fontId="35" fillId="0" borderId="0" xfId="0" applyNumberFormat="1" applyFont="1" applyAlignment="1">
      <alignment horizontal="left" indent="2"/>
    </xf>
    <xf numFmtId="0" fontId="45" fillId="0" borderId="0" xfId="42" applyFont="1" applyAlignment="1">
      <alignment horizontal="left" vertical="top" wrapText="1" indent="3"/>
    </xf>
    <xf numFmtId="0" fontId="50" fillId="0" borderId="0" xfId="0" applyFont="1" applyAlignment="1">
      <alignment horizontal="left" vertical="top" wrapText="1" indent="4"/>
    </xf>
    <xf numFmtId="3" fontId="50" fillId="0" borderId="0" xfId="0" applyNumberFormat="1" applyFont="1" applyAlignment="1">
      <alignment horizontal="right" vertical="top"/>
    </xf>
    <xf numFmtId="3" fontId="32" fillId="0" borderId="0" xfId="0" applyNumberFormat="1" applyFont="1" applyAlignment="1">
      <alignment horizontal="right" vertical="top" wrapText="1"/>
    </xf>
    <xf numFmtId="0" fontId="43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9" fontId="83" fillId="27" borderId="10" xfId="45" applyFont="1" applyFill="1" applyBorder="1" applyAlignment="1">
      <alignment horizontal="center" vertical="top" wrapText="1"/>
    </xf>
    <xf numFmtId="164" fontId="83" fillId="27" borderId="10" xfId="86" applyFont="1" applyFill="1" applyBorder="1" applyAlignment="1">
      <alignment horizontal="center" vertical="top" wrapText="1"/>
    </xf>
    <xf numFmtId="0" fontId="43" fillId="0" borderId="0" xfId="271" applyFont="1" applyAlignment="1">
      <alignment horizontal="left" wrapText="1"/>
    </xf>
    <xf numFmtId="0" fontId="43" fillId="0" borderId="0" xfId="147" applyFont="1" applyAlignment="1">
      <alignment horizontal="right"/>
    </xf>
    <xf numFmtId="0" fontId="13" fillId="0" borderId="0" xfId="147" applyAlignment="1">
      <alignment wrapText="1"/>
    </xf>
    <xf numFmtId="0" fontId="39" fillId="0" borderId="10" xfId="147" applyFont="1" applyBorder="1" applyAlignment="1">
      <alignment vertical="top"/>
    </xf>
    <xf numFmtId="0" fontId="34" fillId="0" borderId="10" xfId="147" applyFont="1" applyBorder="1" applyAlignment="1">
      <alignment horizontal="center" vertical="top" wrapText="1"/>
    </xf>
    <xf numFmtId="3" fontId="13" fillId="0" borderId="10" xfId="275" applyNumberFormat="1" applyFont="1" applyBorder="1" applyAlignment="1">
      <alignment horizontal="right" vertical="top" wrapText="1"/>
    </xf>
    <xf numFmtId="0" fontId="13" fillId="0" borderId="10" xfId="147" applyBorder="1"/>
    <xf numFmtId="0" fontId="13" fillId="0" borderId="10" xfId="147" applyBorder="1" applyAlignment="1">
      <alignment horizontal="left" wrapText="1" indent="2"/>
    </xf>
    <xf numFmtId="0" fontId="13" fillId="0" borderId="10" xfId="147" applyBorder="1" applyAlignment="1">
      <alignment horizontal="left" wrapText="1" indent="4"/>
    </xf>
    <xf numFmtId="0" fontId="13" fillId="0" borderId="10" xfId="147" applyBorder="1" applyAlignment="1">
      <alignment horizontal="left" indent="4"/>
    </xf>
    <xf numFmtId="0" fontId="13" fillId="0" borderId="10" xfId="147" applyBorder="1" applyAlignment="1">
      <alignment horizontal="left" indent="1"/>
    </xf>
    <xf numFmtId="0" fontId="13" fillId="0" borderId="0" xfId="275" applyFont="1" applyAlignment="1">
      <alignment horizontal="left"/>
    </xf>
    <xf numFmtId="0" fontId="13" fillId="0" borderId="0" xfId="275" applyFont="1"/>
    <xf numFmtId="0" fontId="32" fillId="0" borderId="0" xfId="275" applyFont="1" applyAlignment="1">
      <alignment vertical="top" wrapText="1"/>
    </xf>
    <xf numFmtId="0" fontId="13" fillId="0" borderId="0" xfId="147"/>
    <xf numFmtId="0" fontId="13" fillId="0" borderId="0" xfId="271" applyFont="1"/>
    <xf numFmtId="9" fontId="13" fillId="0" borderId="0" xfId="45" applyFont="1" applyBorder="1" applyAlignment="1">
      <alignment horizontal="right"/>
    </xf>
    <xf numFmtId="0" fontId="33" fillId="0" borderId="0" xfId="42" applyFont="1" applyAlignment="1">
      <alignment horizontal="left"/>
    </xf>
    <xf numFmtId="0" fontId="43" fillId="0" borderId="0" xfId="42" applyFont="1" applyAlignment="1">
      <alignment horizontal="left"/>
    </xf>
    <xf numFmtId="0" fontId="44" fillId="0" borderId="0" xfId="42" applyFont="1"/>
    <xf numFmtId="0" fontId="13" fillId="0" borderId="0" xfId="42" applyAlignment="1">
      <alignment horizontal="right"/>
    </xf>
    <xf numFmtId="0" fontId="43" fillId="0" borderId="0" xfId="42" applyFont="1" applyAlignment="1">
      <alignment horizontal="right"/>
    </xf>
    <xf numFmtId="0" fontId="44" fillId="0" borderId="0" xfId="42" applyFont="1" applyAlignment="1"/>
    <xf numFmtId="0" fontId="13" fillId="0" borderId="0" xfId="42"/>
    <xf numFmtId="0" fontId="89" fillId="0" borderId="0" xfId="42" applyFont="1" applyAlignment="1"/>
    <xf numFmtId="0" fontId="43" fillId="0" borderId="0" xfId="42" applyFont="1" applyAlignment="1"/>
    <xf numFmtId="0" fontId="44" fillId="0" borderId="0" xfId="42" applyFont="1" applyBorder="1"/>
    <xf numFmtId="0" fontId="44" fillId="0" borderId="0" xfId="42" applyFont="1" applyBorder="1" applyAlignment="1"/>
    <xf numFmtId="0" fontId="43" fillId="0" borderId="0" xfId="42" applyFont="1" applyBorder="1" applyAlignment="1">
      <alignment horizontal="right"/>
    </xf>
    <xf numFmtId="0" fontId="13" fillId="0" borderId="0" xfId="42" applyBorder="1" applyAlignment="1">
      <alignment horizontal="right"/>
    </xf>
    <xf numFmtId="0" fontId="90" fillId="0" borderId="19" xfId="42" applyFont="1" applyBorder="1" applyAlignment="1">
      <alignment horizontal="center" vertical="top" wrapText="1"/>
    </xf>
    <xf numFmtId="0" fontId="90" fillId="0" borderId="20" xfId="42" applyFont="1" applyBorder="1" applyAlignment="1">
      <alignment horizontal="center" vertical="top" wrapText="1"/>
    </xf>
    <xf numFmtId="0" fontId="90" fillId="0" borderId="21" xfId="42" applyFont="1" applyBorder="1" applyAlignment="1">
      <alignment horizontal="center" vertical="top" wrapText="1"/>
    </xf>
    <xf numFmtId="0" fontId="91" fillId="0" borderId="22" xfId="42" applyFont="1" applyBorder="1" applyAlignment="1">
      <alignment horizontal="center" vertical="top" wrapText="1"/>
    </xf>
    <xf numFmtId="0" fontId="81" fillId="0" borderId="25" xfId="42" applyFont="1" applyBorder="1" applyAlignment="1">
      <alignment horizontal="center" wrapText="1"/>
    </xf>
    <xf numFmtId="0" fontId="49" fillId="0" borderId="0" xfId="42" applyFont="1"/>
    <xf numFmtId="0" fontId="49" fillId="0" borderId="26" xfId="42" applyFont="1" applyBorder="1" applyAlignment="1"/>
    <xf numFmtId="0" fontId="49" fillId="0" borderId="27" xfId="42" applyFont="1" applyBorder="1" applyAlignment="1">
      <alignment wrapText="1"/>
    </xf>
    <xf numFmtId="0" fontId="49" fillId="0" borderId="27" xfId="42" applyFont="1" applyBorder="1" applyAlignment="1">
      <alignment horizontal="center" vertical="top" wrapText="1"/>
    </xf>
    <xf numFmtId="0" fontId="49" fillId="0" borderId="27" xfId="42" applyFont="1" applyBorder="1" applyAlignment="1"/>
    <xf numFmtId="0" fontId="49" fillId="0" borderId="28" xfId="42" applyFont="1" applyBorder="1" applyAlignment="1">
      <alignment vertical="top"/>
    </xf>
    <xf numFmtId="0" fontId="91" fillId="0" borderId="27" xfId="42" applyFont="1" applyBorder="1" applyAlignment="1">
      <alignment horizontal="center" vertical="top"/>
    </xf>
    <xf numFmtId="0" fontId="90" fillId="0" borderId="29" xfId="42" applyFont="1" applyBorder="1" applyAlignment="1">
      <alignment horizontal="center" vertical="top" wrapText="1"/>
    </xf>
    <xf numFmtId="0" fontId="90" fillId="0" borderId="28" xfId="42" applyFont="1" applyBorder="1" applyAlignment="1">
      <alignment horizontal="center" vertical="top" wrapText="1"/>
    </xf>
    <xf numFmtId="0" fontId="90" fillId="0" borderId="30" xfId="42" applyFont="1" applyBorder="1" applyAlignment="1">
      <alignment horizontal="center" vertical="top" wrapText="1"/>
    </xf>
    <xf numFmtId="0" fontId="91" fillId="0" borderId="30" xfId="42" applyFont="1" applyBorder="1" applyAlignment="1">
      <alignment horizontal="center" vertical="top"/>
    </xf>
    <xf numFmtId="0" fontId="91" fillId="0" borderId="31" xfId="42" applyFont="1" applyBorder="1" applyAlignment="1">
      <alignment horizontal="center" vertical="top"/>
    </xf>
    <xf numFmtId="0" fontId="91" fillId="0" borderId="31" xfId="42" applyFont="1" applyBorder="1" applyAlignment="1">
      <alignment horizontal="center" vertical="top" wrapText="1"/>
    </xf>
    <xf numFmtId="0" fontId="90" fillId="0" borderId="32" xfId="42" applyFont="1" applyBorder="1" applyAlignment="1">
      <alignment horizontal="center"/>
    </xf>
    <xf numFmtId="0" fontId="44" fillId="0" borderId="33" xfId="42" applyFont="1" applyBorder="1" applyAlignment="1">
      <alignment horizontal="center" vertical="top" wrapText="1"/>
    </xf>
    <xf numFmtId="0" fontId="44" fillId="0" borderId="12" xfId="42" applyFont="1" applyBorder="1" applyAlignment="1">
      <alignment horizontal="center" wrapText="1"/>
    </xf>
    <xf numFmtId="0" fontId="44" fillId="0" borderId="12" xfId="42" applyFont="1" applyBorder="1" applyAlignment="1">
      <alignment horizontal="center" vertical="top" wrapText="1"/>
    </xf>
    <xf numFmtId="0" fontId="44" fillId="0" borderId="34" xfId="42" applyFont="1" applyBorder="1" applyAlignment="1">
      <alignment horizontal="center" wrapText="1"/>
    </xf>
    <xf numFmtId="0" fontId="44" fillId="0" borderId="35" xfId="42" applyFont="1" applyBorder="1" applyAlignment="1">
      <alignment horizontal="center" wrapText="1"/>
    </xf>
    <xf numFmtId="0" fontId="44" fillId="0" borderId="12" xfId="42" applyFont="1" applyBorder="1" applyAlignment="1">
      <alignment wrapText="1"/>
    </xf>
    <xf numFmtId="0" fontId="44" fillId="0" borderId="39" xfId="42" applyFont="1" applyBorder="1"/>
    <xf numFmtId="0" fontId="44" fillId="0" borderId="12" xfId="42" applyFont="1" applyBorder="1"/>
    <xf numFmtId="0" fontId="44" fillId="0" borderId="34" xfId="42" applyFont="1" applyBorder="1"/>
    <xf numFmtId="0" fontId="44" fillId="0" borderId="35" xfId="42" applyFont="1" applyBorder="1"/>
    <xf numFmtId="0" fontId="44" fillId="0" borderId="27" xfId="42" applyFont="1" applyBorder="1" applyAlignment="1">
      <alignment wrapText="1"/>
    </xf>
    <xf numFmtId="0" fontId="44" fillId="0" borderId="41" xfId="42" applyFont="1" applyBorder="1"/>
    <xf numFmtId="0" fontId="44" fillId="0" borderId="27" xfId="42" applyFont="1" applyBorder="1"/>
    <xf numFmtId="0" fontId="44" fillId="0" borderId="28" xfId="42" applyFont="1" applyBorder="1"/>
    <xf numFmtId="0" fontId="44" fillId="0" borderId="42" xfId="42" applyFont="1" applyBorder="1"/>
    <xf numFmtId="0" fontId="13" fillId="0" borderId="0" xfId="276" applyFont="1" applyAlignment="1">
      <alignment horizontal="left"/>
    </xf>
    <xf numFmtId="0" fontId="45" fillId="0" borderId="0" xfId="42" applyFont="1" applyBorder="1" applyAlignment="1">
      <alignment wrapText="1"/>
    </xf>
    <xf numFmtId="0" fontId="13" fillId="0" borderId="0" xfId="42" applyAlignment="1"/>
    <xf numFmtId="9" fontId="35" fillId="0" borderId="0" xfId="149" applyFont="1" applyAlignment="1">
      <alignment vertical="top"/>
    </xf>
    <xf numFmtId="9" fontId="50" fillId="0" borderId="0" xfId="149" applyFont="1" applyAlignment="1">
      <alignment horizontal="right" vertical="top"/>
    </xf>
    <xf numFmtId="9" fontId="32" fillId="0" borderId="0" xfId="149" applyFont="1" applyAlignment="1">
      <alignment horizontal="right" vertical="top" wrapText="1"/>
    </xf>
    <xf numFmtId="9" fontId="13" fillId="0" borderId="0" xfId="149" applyFont="1" applyFill="1" applyBorder="1" applyAlignment="1" applyProtection="1">
      <alignment vertical="top" wrapText="1"/>
    </xf>
    <xf numFmtId="9" fontId="42" fillId="0" borderId="0" xfId="149" applyFont="1" applyFill="1" applyBorder="1" applyAlignment="1" applyProtection="1">
      <alignment vertical="top" wrapText="1"/>
    </xf>
    <xf numFmtId="9" fontId="0" fillId="0" borderId="0" xfId="149" applyFont="1"/>
    <xf numFmtId="0" fontId="41" fillId="0" borderId="0" xfId="0" applyFont="1" applyAlignment="1">
      <alignment horizontal="left" vertical="top"/>
    </xf>
    <xf numFmtId="0" fontId="92" fillId="0" borderId="0" xfId="42" applyFont="1"/>
    <xf numFmtId="0" fontId="93" fillId="0" borderId="0" xfId="42" applyFont="1"/>
    <xf numFmtId="0" fontId="93" fillId="0" borderId="0" xfId="42" applyFont="1" applyAlignment="1">
      <alignment horizontal="justify"/>
    </xf>
    <xf numFmtId="0" fontId="93" fillId="0" borderId="0" xfId="42" applyFont="1" applyAlignment="1">
      <alignment horizontal="right"/>
    </xf>
    <xf numFmtId="0" fontId="94" fillId="0" borderId="17" xfId="42" applyFont="1" applyBorder="1" applyAlignment="1">
      <alignment horizontal="center" vertical="top"/>
    </xf>
    <xf numFmtId="0" fontId="94" fillId="0" borderId="11" xfId="42" applyFont="1" applyBorder="1" applyAlignment="1">
      <alignment horizontal="center" vertical="top"/>
    </xf>
    <xf numFmtId="0" fontId="94" fillId="0" borderId="34" xfId="42" applyFont="1" applyBorder="1" applyAlignment="1">
      <alignment horizontal="justify" vertical="top"/>
    </xf>
    <xf numFmtId="0" fontId="94" fillId="0" borderId="12" xfId="42" applyFont="1" applyBorder="1" applyAlignment="1">
      <alignment horizontal="justify" vertical="top"/>
    </xf>
    <xf numFmtId="0" fontId="94" fillId="0" borderId="10" xfId="42" applyFont="1" applyBorder="1" applyAlignment="1">
      <alignment horizontal="center" vertical="top" wrapText="1"/>
    </xf>
    <xf numFmtId="0" fontId="13" fillId="0" borderId="0" xfId="42" applyAlignment="1">
      <alignment vertical="top"/>
    </xf>
    <xf numFmtId="3" fontId="96" fillId="0" borderId="10" xfId="42" applyNumberFormat="1" applyFont="1" applyBorder="1" applyAlignment="1">
      <alignment horizontal="right" vertical="top"/>
    </xf>
    <xf numFmtId="0" fontId="96" fillId="0" borderId="10" xfId="42" applyFont="1" applyBorder="1" applyAlignment="1">
      <alignment horizontal="justify" vertical="top"/>
    </xf>
    <xf numFmtId="0" fontId="83" fillId="0" borderId="10" xfId="0" applyFont="1" applyBorder="1" applyAlignment="1">
      <alignment horizontal="center" vertical="center"/>
    </xf>
    <xf numFmtId="0" fontId="96" fillId="0" borderId="11" xfId="0" applyFont="1" applyBorder="1" applyAlignment="1">
      <alignment horizontal="left" vertical="center" wrapText="1"/>
    </xf>
    <xf numFmtId="0" fontId="96" fillId="0" borderId="18" xfId="0" applyFont="1" applyBorder="1" applyAlignment="1">
      <alignment horizontal="left" vertical="center" wrapText="1"/>
    </xf>
    <xf numFmtId="0" fontId="96" fillId="0" borderId="12" xfId="0" applyFont="1" applyBorder="1" applyAlignment="1">
      <alignment horizontal="left" vertical="center" wrapText="1"/>
    </xf>
    <xf numFmtId="0" fontId="95" fillId="0" borderId="0" xfId="0" applyFont="1" applyAlignment="1">
      <alignment horizontal="left" vertical="top"/>
    </xf>
    <xf numFmtId="0" fontId="97" fillId="0" borderId="0" xfId="49" applyFont="1"/>
    <xf numFmtId="0" fontId="84" fillId="0" borderId="0" xfId="49" applyFont="1"/>
    <xf numFmtId="0" fontId="84" fillId="0" borderId="0" xfId="49" applyFont="1" applyAlignment="1">
      <alignment horizontal="center" vertical="top"/>
    </xf>
    <xf numFmtId="0" fontId="95" fillId="0" borderId="0" xfId="0" applyFont="1" applyAlignment="1">
      <alignment horizontal="right"/>
    </xf>
    <xf numFmtId="3" fontId="98" fillId="0" borderId="0" xfId="49" applyNumberFormat="1" applyFont="1"/>
    <xf numFmtId="0" fontId="99" fillId="0" borderId="0" xfId="49" applyFont="1" applyAlignment="1">
      <alignment horizontal="right" vertical="top"/>
    </xf>
    <xf numFmtId="0" fontId="84" fillId="0" borderId="0" xfId="49" applyFont="1" applyAlignment="1">
      <alignment wrapText="1"/>
    </xf>
    <xf numFmtId="0" fontId="100" fillId="0" borderId="0" xfId="277" applyFont="1"/>
    <xf numFmtId="0" fontId="98" fillId="0" borderId="0" xfId="49" applyFont="1"/>
    <xf numFmtId="0" fontId="95" fillId="29" borderId="10" xfId="49" applyFont="1" applyFill="1" applyBorder="1" applyAlignment="1">
      <alignment horizontal="right" vertical="top" wrapText="1"/>
    </xf>
    <xf numFmtId="0" fontId="95" fillId="29" borderId="10" xfId="49" applyFont="1" applyFill="1" applyBorder="1" applyAlignment="1">
      <alignment horizontal="center" vertical="top"/>
    </xf>
    <xf numFmtId="0" fontId="95" fillId="29" borderId="11" xfId="49" applyFont="1" applyFill="1" applyBorder="1" applyAlignment="1">
      <alignment horizontal="center" vertical="top" wrapText="1"/>
    </xf>
    <xf numFmtId="0" fontId="101" fillId="29" borderId="11" xfId="49" applyFont="1" applyFill="1" applyBorder="1" applyAlignment="1">
      <alignment horizontal="center" vertical="top" wrapText="1"/>
    </xf>
    <xf numFmtId="0" fontId="102" fillId="29" borderId="0" xfId="49" applyFont="1" applyFill="1" applyAlignment="1">
      <alignment horizontal="right" vertical="top" wrapText="1"/>
    </xf>
    <xf numFmtId="0" fontId="95" fillId="29" borderId="0" xfId="49" applyFont="1" applyFill="1" applyAlignment="1">
      <alignment horizontal="left" vertical="top"/>
    </xf>
    <xf numFmtId="0" fontId="102" fillId="29" borderId="0" xfId="49" applyFont="1" applyFill="1" applyAlignment="1">
      <alignment horizontal="center" vertical="top"/>
    </xf>
    <xf numFmtId="0" fontId="102" fillId="29" borderId="0" xfId="49" applyFont="1" applyFill="1" applyAlignment="1">
      <alignment horizontal="center" vertical="top" wrapText="1"/>
    </xf>
    <xf numFmtId="3" fontId="95" fillId="29" borderId="0" xfId="150" applyNumberFormat="1" applyFont="1" applyFill="1" applyAlignment="1" applyProtection="1">
      <alignment wrapText="1"/>
      <protection locked="0"/>
    </xf>
    <xf numFmtId="0" fontId="84" fillId="0" borderId="0" xfId="277" applyFont="1" applyAlignment="1">
      <alignment vertical="top" wrapText="1"/>
    </xf>
    <xf numFmtId="0" fontId="84" fillId="0" borderId="0" xfId="277" applyFont="1" applyAlignment="1">
      <alignment horizontal="right" vertical="top"/>
    </xf>
    <xf numFmtId="0" fontId="84" fillId="0" borderId="0" xfId="277" applyFont="1" applyAlignment="1">
      <alignment horizontal="left" vertical="top" wrapText="1"/>
    </xf>
    <xf numFmtId="14" fontId="84" fillId="0" borderId="0" xfId="277" applyNumberFormat="1" applyFont="1" applyAlignment="1">
      <alignment horizontal="center" vertical="top" wrapText="1"/>
    </xf>
    <xf numFmtId="3" fontId="84" fillId="0" borderId="0" xfId="150" applyNumberFormat="1" applyFont="1" applyAlignment="1" applyProtection="1">
      <alignment vertical="top"/>
      <protection locked="0"/>
    </xf>
    <xf numFmtId="3" fontId="98" fillId="0" borderId="0" xfId="150" applyNumberFormat="1" applyFont="1" applyAlignment="1" applyProtection="1">
      <alignment vertical="top"/>
      <protection locked="0"/>
    </xf>
    <xf numFmtId="0" fontId="84" fillId="0" borderId="0" xfId="278" applyFont="1" applyAlignment="1">
      <alignment horizontal="left" vertical="top" wrapText="1"/>
    </xf>
    <xf numFmtId="0" fontId="84" fillId="0" borderId="0" xfId="49" applyFont="1" applyAlignment="1">
      <alignment vertical="top"/>
    </xf>
    <xf numFmtId="0" fontId="84" fillId="0" borderId="0" xfId="49" applyFont="1" applyAlignment="1">
      <alignment horizontal="left" vertical="top"/>
    </xf>
    <xf numFmtId="14" fontId="84" fillId="0" borderId="0" xfId="278" applyNumberFormat="1" applyFont="1" applyAlignment="1">
      <alignment horizontal="center" vertical="top"/>
    </xf>
    <xf numFmtId="0" fontId="84" fillId="0" borderId="0" xfId="49" applyFont="1" applyAlignment="1">
      <alignment horizontal="left" vertical="top" wrapText="1"/>
    </xf>
    <xf numFmtId="0" fontId="84" fillId="0" borderId="0" xfId="49" applyFont="1" applyAlignment="1">
      <alignment horizontal="right" vertical="top"/>
    </xf>
    <xf numFmtId="14" fontId="84" fillId="0" borderId="0" xfId="49" applyNumberFormat="1" applyFont="1" applyAlignment="1">
      <alignment horizontal="center" vertical="top" wrapText="1"/>
    </xf>
    <xf numFmtId="3" fontId="84" fillId="0" borderId="0" xfId="279" applyNumberFormat="1" applyFont="1" applyAlignment="1">
      <alignment horizontal="right" vertical="top" wrapText="1"/>
    </xf>
    <xf numFmtId="0" fontId="43" fillId="0" borderId="0" xfId="42" applyFont="1" applyAlignment="1">
      <alignment horizontal="left" vertical="top"/>
    </xf>
    <xf numFmtId="3" fontId="43" fillId="0" borderId="0" xfId="42" applyNumberFormat="1" applyFont="1" applyAlignment="1">
      <alignment vertical="top"/>
    </xf>
    <xf numFmtId="3" fontId="44" fillId="0" borderId="0" xfId="42" applyNumberFormat="1" applyFont="1" applyAlignment="1">
      <alignment vertical="top"/>
    </xf>
    <xf numFmtId="0" fontId="44" fillId="0" borderId="0" xfId="42" applyFont="1" applyAlignment="1">
      <alignment horizontal="left" vertical="top"/>
    </xf>
    <xf numFmtId="3" fontId="45" fillId="0" borderId="0" xfId="42" applyNumberFormat="1" applyFont="1" applyAlignment="1">
      <alignment vertical="top" wrapText="1"/>
    </xf>
    <xf numFmtId="3" fontId="74" fillId="0" borderId="0" xfId="35" applyNumberFormat="1" applyFont="1" applyAlignment="1">
      <alignment vertical="top"/>
    </xf>
    <xf numFmtId="3" fontId="34" fillId="0" borderId="0" xfId="0" applyNumberFormat="1" applyFont="1" applyAlignment="1">
      <alignment vertical="top"/>
    </xf>
    <xf numFmtId="3" fontId="48" fillId="0" borderId="0" xfId="35" applyNumberFormat="1" applyFont="1" applyAlignment="1">
      <alignment vertical="top"/>
    </xf>
    <xf numFmtId="3" fontId="48" fillId="0" borderId="0" xfId="35" applyNumberFormat="1" applyFont="1" applyAlignment="1">
      <alignment vertical="top" wrapText="1"/>
    </xf>
    <xf numFmtId="3" fontId="34" fillId="0" borderId="0" xfId="35" applyNumberFormat="1" applyFont="1" applyAlignment="1">
      <alignment vertical="top"/>
    </xf>
    <xf numFmtId="3" fontId="35" fillId="0" borderId="0" xfId="35" applyNumberFormat="1" applyFont="1" applyAlignment="1">
      <alignment vertical="top"/>
    </xf>
    <xf numFmtId="3" fontId="42" fillId="28" borderId="0" xfId="35" applyNumberFormat="1" applyFont="1" applyFill="1" applyAlignment="1">
      <alignment vertical="top"/>
    </xf>
    <xf numFmtId="0" fontId="48" fillId="0" borderId="0" xfId="35" applyFont="1" applyAlignment="1">
      <alignment horizontal="left" vertical="top" indent="1"/>
    </xf>
    <xf numFmtId="3" fontId="13" fillId="0" borderId="0" xfId="36" applyNumberFormat="1" applyFont="1" applyAlignment="1">
      <alignment vertical="top"/>
    </xf>
    <xf numFmtId="0" fontId="43" fillId="0" borderId="0" xfId="0" applyFont="1" applyAlignment="1">
      <alignment vertical="top"/>
    </xf>
    <xf numFmtId="3" fontId="43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3" fontId="13" fillId="0" borderId="0" xfId="0" applyNumberFormat="1" applyFont="1" applyAlignment="1">
      <alignment vertical="top"/>
    </xf>
    <xf numFmtId="2" fontId="35" fillId="0" borderId="0" xfId="0" applyNumberFormat="1" applyFont="1" applyAlignment="1">
      <alignment horizontal="left" vertical="top" indent="2"/>
    </xf>
    <xf numFmtId="3" fontId="35" fillId="0" borderId="0" xfId="0" applyNumberFormat="1" applyFont="1" applyAlignment="1">
      <alignment vertical="top"/>
    </xf>
    <xf numFmtId="2" fontId="35" fillId="0" borderId="0" xfId="0" applyNumberFormat="1" applyFont="1" applyAlignment="1">
      <alignment horizontal="left" vertical="top"/>
    </xf>
    <xf numFmtId="0" fontId="44" fillId="0" borderId="0" xfId="0" applyFont="1" applyAlignment="1">
      <alignment vertical="top"/>
    </xf>
    <xf numFmtId="3" fontId="44" fillId="0" borderId="0" xfId="0" applyNumberFormat="1" applyFont="1" applyAlignment="1">
      <alignment vertical="top"/>
    </xf>
    <xf numFmtId="0" fontId="45" fillId="0" borderId="0" xfId="0" applyFont="1" applyAlignment="1">
      <alignment horizontal="left" vertical="top"/>
    </xf>
    <xf numFmtId="3" fontId="45" fillId="0" borderId="0" xfId="0" applyNumberFormat="1" applyFont="1" applyAlignment="1">
      <alignment vertical="top"/>
    </xf>
    <xf numFmtId="2" fontId="45" fillId="0" borderId="0" xfId="0" applyNumberFormat="1" applyFont="1" applyAlignment="1">
      <alignment horizontal="left" vertical="top" indent="2"/>
    </xf>
    <xf numFmtId="2" fontId="45" fillId="0" borderId="0" xfId="0" applyNumberFormat="1" applyFont="1" applyAlignment="1">
      <alignment horizontal="left" vertical="top"/>
    </xf>
    <xf numFmtId="0" fontId="34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44" fillId="0" borderId="0" xfId="0" applyFont="1" applyAlignment="1">
      <alignment horizontal="left" vertical="top" indent="1"/>
    </xf>
    <xf numFmtId="2" fontId="35" fillId="0" borderId="0" xfId="0" applyNumberFormat="1" applyFont="1" applyAlignment="1">
      <alignment horizontal="left" vertical="top" indent="3"/>
    </xf>
    <xf numFmtId="0" fontId="44" fillId="0" borderId="0" xfId="0" applyFont="1" applyAlignment="1">
      <alignment horizontal="left" indent="1"/>
    </xf>
    <xf numFmtId="3" fontId="44" fillId="0" borderId="0" xfId="0" applyNumberFormat="1" applyFont="1"/>
    <xf numFmtId="3" fontId="35" fillId="0" borderId="0" xfId="0" applyNumberFormat="1" applyFont="1"/>
    <xf numFmtId="0" fontId="43" fillId="0" borderId="0" xfId="0" applyFont="1"/>
    <xf numFmtId="3" fontId="43" fillId="0" borderId="0" xfId="0" applyNumberFormat="1" applyFont="1"/>
    <xf numFmtId="3" fontId="0" fillId="0" borderId="0" xfId="0" applyNumberFormat="1" applyAlignment="1">
      <alignment vertical="top"/>
    </xf>
    <xf numFmtId="9" fontId="43" fillId="0" borderId="0" xfId="149" applyFont="1" applyAlignment="1">
      <alignment vertical="top"/>
    </xf>
    <xf numFmtId="9" fontId="13" fillId="0" borderId="0" xfId="149" applyFont="1" applyAlignment="1">
      <alignment vertical="top"/>
    </xf>
    <xf numFmtId="9" fontId="44" fillId="0" borderId="0" xfId="149" applyFont="1" applyAlignment="1">
      <alignment vertical="top"/>
    </xf>
    <xf numFmtId="9" fontId="45" fillId="0" borderId="0" xfId="149" applyFont="1" applyAlignment="1">
      <alignment vertical="top"/>
    </xf>
    <xf numFmtId="9" fontId="34" fillId="0" borderId="0" xfId="149" applyFont="1" applyAlignment="1">
      <alignment vertical="top"/>
    </xf>
    <xf numFmtId="9" fontId="43" fillId="0" borderId="0" xfId="149" applyFont="1"/>
    <xf numFmtId="9" fontId="0" fillId="0" borderId="0" xfId="149" applyFont="1" applyAlignment="1">
      <alignment vertical="top"/>
    </xf>
    <xf numFmtId="9" fontId="34" fillId="0" borderId="0" xfId="149" applyFont="1"/>
    <xf numFmtId="3" fontId="82" fillId="0" borderId="0" xfId="42" applyNumberFormat="1" applyFont="1" applyAlignment="1">
      <alignment vertical="top" wrapText="1"/>
    </xf>
    <xf numFmtId="0" fontId="32" fillId="0" borderId="0" xfId="35" applyFont="1" applyAlignment="1">
      <alignment horizontal="left" vertical="top" wrapText="1" indent="2"/>
    </xf>
    <xf numFmtId="9" fontId="45" fillId="0" borderId="0" xfId="149" applyFont="1" applyAlignment="1">
      <alignment vertical="top" wrapText="1"/>
    </xf>
    <xf numFmtId="0" fontId="34" fillId="0" borderId="0" xfId="0" applyFont="1" applyAlignment="1">
      <alignment vertical="top"/>
    </xf>
    <xf numFmtId="3" fontId="34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left" indent="1"/>
    </xf>
    <xf numFmtId="3" fontId="13" fillId="0" borderId="0" xfId="0" applyNumberFormat="1" applyFont="1" applyAlignment="1">
      <alignment horizontal="right"/>
    </xf>
    <xf numFmtId="0" fontId="50" fillId="0" borderId="0" xfId="0" applyFont="1" applyAlignment="1">
      <alignment horizontal="left" vertical="top" indent="3"/>
    </xf>
    <xf numFmtId="3" fontId="50" fillId="0" borderId="0" xfId="0" applyNumberFormat="1" applyFont="1" applyAlignment="1">
      <alignment vertical="top"/>
    </xf>
    <xf numFmtId="3" fontId="50" fillId="0" borderId="0" xfId="0" applyNumberFormat="1" applyFont="1" applyAlignment="1">
      <alignment horizontal="right" vertical="top" wrapText="1"/>
    </xf>
    <xf numFmtId="0" fontId="50" fillId="0" borderId="0" xfId="0" applyFont="1" applyAlignment="1">
      <alignment horizontal="left" vertical="top" indent="4"/>
    </xf>
    <xf numFmtId="0" fontId="50" fillId="0" borderId="0" xfId="0" applyFont="1" applyAlignment="1">
      <alignment horizontal="left" indent="4"/>
    </xf>
    <xf numFmtId="3" fontId="50" fillId="0" borderId="0" xfId="0" applyNumberFormat="1" applyFont="1"/>
    <xf numFmtId="0" fontId="41" fillId="0" borderId="0" xfId="0" applyFont="1" applyAlignment="1">
      <alignment horizontal="left" indent="1"/>
    </xf>
    <xf numFmtId="0" fontId="52" fillId="0" borderId="0" xfId="0" applyFont="1"/>
    <xf numFmtId="0" fontId="13" fillId="0" borderId="0" xfId="0" applyFont="1" applyAlignment="1" applyProtection="1">
      <alignment horizontal="left" vertical="top" wrapText="1" indent="4"/>
      <protection locked="0"/>
    </xf>
    <xf numFmtId="0" fontId="50" fillId="0" borderId="0" xfId="0" applyFont="1" applyAlignment="1">
      <alignment vertical="top" wrapText="1"/>
    </xf>
    <xf numFmtId="3" fontId="13" fillId="0" borderId="0" xfId="0" applyNumberFormat="1" applyFont="1" applyAlignment="1" applyProtection="1">
      <alignment horizontal="right" vertical="top" wrapText="1"/>
      <protection locked="0"/>
    </xf>
    <xf numFmtId="0" fontId="50" fillId="0" borderId="0" xfId="0" applyFont="1" applyAlignment="1">
      <alignment wrapText="1"/>
    </xf>
    <xf numFmtId="3" fontId="50" fillId="0" borderId="0" xfId="0" applyNumberFormat="1" applyFont="1" applyAlignment="1">
      <alignment horizontal="right" wrapText="1"/>
    </xf>
    <xf numFmtId="0" fontId="104" fillId="0" borderId="0" xfId="0" applyFont="1" applyAlignment="1">
      <alignment horizontal="left" vertical="top" wrapText="1" indent="4"/>
    </xf>
    <xf numFmtId="3" fontId="104" fillId="0" borderId="0" xfId="0" applyNumberFormat="1" applyFont="1" applyAlignment="1">
      <alignment horizontal="right" vertical="top" wrapText="1"/>
    </xf>
    <xf numFmtId="3" fontId="13" fillId="0" borderId="0" xfId="0" applyNumberFormat="1" applyFont="1" applyAlignment="1">
      <alignment horizontal="right" vertical="top"/>
    </xf>
    <xf numFmtId="0" fontId="50" fillId="0" borderId="0" xfId="0" applyFont="1" applyAlignment="1">
      <alignment vertical="top"/>
    </xf>
    <xf numFmtId="0" fontId="50" fillId="0" borderId="0" xfId="0" applyFont="1" applyAlignment="1" applyProtection="1">
      <alignment vertical="top"/>
      <protection locked="0"/>
    </xf>
    <xf numFmtId="3" fontId="50" fillId="0" borderId="0" xfId="0" applyNumberFormat="1" applyFont="1" applyAlignment="1" applyProtection="1">
      <alignment horizontal="right" vertical="top"/>
      <protection locked="0"/>
    </xf>
    <xf numFmtId="0" fontId="50" fillId="0" borderId="0" xfId="0" applyFont="1" applyAlignment="1" applyProtection="1">
      <alignment vertical="top" wrapText="1"/>
      <protection locked="0"/>
    </xf>
    <xf numFmtId="3" fontId="50" fillId="0" borderId="0" xfId="0" applyNumberFormat="1" applyFont="1" applyAlignment="1" applyProtection="1">
      <alignment horizontal="right" vertical="top" wrapText="1"/>
      <protection locked="0"/>
    </xf>
    <xf numFmtId="0" fontId="50" fillId="0" borderId="0" xfId="0" applyFont="1"/>
    <xf numFmtId="3" fontId="50" fillId="0" borderId="0" xfId="0" applyNumberFormat="1" applyFont="1" applyAlignment="1">
      <alignment horizontal="right"/>
    </xf>
    <xf numFmtId="0" fontId="13" fillId="0" borderId="0" xfId="0" applyFont="1" applyAlignment="1" applyProtection="1">
      <alignment horizontal="left" vertical="top" wrapText="1"/>
      <protection locked="0"/>
    </xf>
    <xf numFmtId="0" fontId="50" fillId="0" borderId="0" xfId="49" applyFont="1" applyAlignment="1">
      <alignment vertical="top"/>
    </xf>
    <xf numFmtId="3" fontId="50" fillId="0" borderId="0" xfId="49" applyNumberFormat="1" applyFont="1" applyAlignment="1">
      <alignment horizontal="right" vertical="top"/>
    </xf>
    <xf numFmtId="3" fontId="50" fillId="0" borderId="0" xfId="49" applyNumberFormat="1" applyFont="1" applyAlignment="1">
      <alignment vertical="top"/>
    </xf>
    <xf numFmtId="0" fontId="50" fillId="0" borderId="0" xfId="49" applyFont="1" applyAlignment="1">
      <alignment vertical="top" wrapText="1"/>
    </xf>
    <xf numFmtId="3" fontId="50" fillId="0" borderId="0" xfId="49" applyNumberFormat="1" applyFont="1" applyAlignment="1">
      <alignment horizontal="right" vertical="top" wrapText="1"/>
    </xf>
    <xf numFmtId="0" fontId="41" fillId="0" borderId="0" xfId="0" applyFont="1" applyAlignment="1">
      <alignment vertical="top"/>
    </xf>
    <xf numFmtId="3" fontId="13" fillId="0" borderId="0" xfId="0" applyNumberFormat="1" applyFont="1" applyAlignment="1" applyProtection="1">
      <alignment vertical="top"/>
      <protection locked="0"/>
    </xf>
    <xf numFmtId="0" fontId="50" fillId="0" borderId="0" xfId="150" applyFont="1" applyAlignment="1">
      <alignment horizontal="left" vertical="top"/>
    </xf>
    <xf numFmtId="3" fontId="50" fillId="0" borderId="0" xfId="150" applyNumberFormat="1" applyFont="1" applyAlignment="1">
      <alignment horizontal="right" vertical="top"/>
    </xf>
    <xf numFmtId="3" fontId="50" fillId="0" borderId="0" xfId="150" applyNumberFormat="1" applyFont="1" applyAlignment="1">
      <alignment vertical="top"/>
    </xf>
    <xf numFmtId="0" fontId="50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 wrapText="1" indent="1"/>
    </xf>
    <xf numFmtId="0" fontId="32" fillId="0" borderId="0" xfId="0" applyFont="1" applyAlignment="1">
      <alignment horizontal="left" vertical="top" indent="1"/>
    </xf>
    <xf numFmtId="3" fontId="32" fillId="0" borderId="0" xfId="0" applyNumberFormat="1" applyFont="1" applyAlignment="1">
      <alignment horizontal="right" vertical="top"/>
    </xf>
    <xf numFmtId="0" fontId="50" fillId="0" borderId="0" xfId="0" applyFont="1" applyAlignment="1">
      <alignment horizontal="left" vertical="top"/>
    </xf>
    <xf numFmtId="3" fontId="34" fillId="0" borderId="0" xfId="0" applyNumberFormat="1" applyFont="1" applyAlignment="1">
      <alignment horizontal="right"/>
    </xf>
    <xf numFmtId="9" fontId="34" fillId="0" borderId="0" xfId="149" applyFont="1" applyAlignment="1">
      <alignment horizontal="right" vertical="top"/>
    </xf>
    <xf numFmtId="9" fontId="13" fillId="0" borderId="0" xfId="149" applyFont="1" applyAlignment="1">
      <alignment horizontal="right"/>
    </xf>
    <xf numFmtId="9" fontId="50" fillId="0" borderId="0" xfId="149" applyFont="1" applyAlignment="1">
      <alignment horizontal="right" vertical="top" wrapText="1"/>
    </xf>
    <xf numFmtId="9" fontId="13" fillId="0" borderId="0" xfId="149" applyFont="1" applyAlignment="1" applyProtection="1">
      <alignment horizontal="right" vertical="top" wrapText="1"/>
      <protection locked="0"/>
    </xf>
    <xf numFmtId="9" fontId="50" fillId="0" borderId="0" xfId="149" applyFont="1" applyAlignment="1">
      <alignment horizontal="right" wrapText="1"/>
    </xf>
    <xf numFmtId="9" fontId="104" fillId="0" borderId="0" xfId="149" applyFont="1" applyAlignment="1">
      <alignment horizontal="right" vertical="top" wrapText="1"/>
    </xf>
    <xf numFmtId="9" fontId="13" fillId="0" borderId="0" xfId="149" applyFont="1" applyAlignment="1">
      <alignment horizontal="right" vertical="top"/>
    </xf>
    <xf numFmtId="9" fontId="50" fillId="0" borderId="0" xfId="149" applyFont="1" applyAlignment="1" applyProtection="1">
      <alignment horizontal="right" vertical="top"/>
      <protection locked="0"/>
    </xf>
    <xf numFmtId="9" fontId="50" fillId="0" borderId="0" xfId="149" applyFont="1" applyAlignment="1" applyProtection="1">
      <alignment horizontal="right" vertical="top" wrapText="1"/>
      <protection locked="0"/>
    </xf>
    <xf numFmtId="9" fontId="50" fillId="0" borderId="0" xfId="149" applyFont="1" applyAlignment="1">
      <alignment horizontal="right"/>
    </xf>
    <xf numFmtId="9" fontId="32" fillId="0" borderId="0" xfId="149" applyFont="1" applyAlignment="1">
      <alignment horizontal="right" vertical="top"/>
    </xf>
    <xf numFmtId="9" fontId="34" fillId="0" borderId="0" xfId="149" applyFont="1" applyAlignment="1">
      <alignment horizontal="right"/>
    </xf>
    <xf numFmtId="3" fontId="105" fillId="0" borderId="0" xfId="42" applyNumberFormat="1" applyFont="1" applyAlignment="1">
      <alignment vertical="top"/>
    </xf>
    <xf numFmtId="3" fontId="106" fillId="0" borderId="0" xfId="42" applyNumberFormat="1" applyFont="1" applyAlignment="1">
      <alignment vertical="top"/>
    </xf>
    <xf numFmtId="0" fontId="106" fillId="0" borderId="0" xfId="0" applyFont="1"/>
    <xf numFmtId="3" fontId="106" fillId="0" borderId="0" xfId="0" applyNumberFormat="1" applyFont="1" applyAlignment="1">
      <alignment vertical="top"/>
    </xf>
    <xf numFmtId="3" fontId="107" fillId="0" borderId="0" xfId="0" applyNumberFormat="1" applyFont="1" applyAlignment="1">
      <alignment horizontal="right" vertical="top"/>
    </xf>
    <xf numFmtId="3" fontId="73" fillId="0" borderId="0" xfId="0" applyNumberFormat="1" applyFont="1" applyAlignment="1">
      <alignment horizontal="right"/>
    </xf>
    <xf numFmtId="3" fontId="87" fillId="0" borderId="0" xfId="0" applyNumberFormat="1" applyFont="1" applyAlignment="1">
      <alignment horizontal="right" vertical="top"/>
    </xf>
    <xf numFmtId="3" fontId="87" fillId="0" borderId="0" xfId="0" applyNumberFormat="1" applyFont="1" applyAlignment="1">
      <alignment horizontal="right" vertical="top" wrapText="1"/>
    </xf>
    <xf numFmtId="0" fontId="73" fillId="0" borderId="0" xfId="0" applyFont="1"/>
    <xf numFmtId="3" fontId="73" fillId="0" borderId="0" xfId="0" applyNumberFormat="1" applyFont="1" applyAlignment="1">
      <alignment horizontal="right" vertical="top"/>
    </xf>
    <xf numFmtId="3" fontId="87" fillId="0" borderId="0" xfId="0" applyNumberFormat="1" applyFont="1" applyAlignment="1" applyProtection="1">
      <alignment horizontal="right" vertical="top" wrapText="1"/>
      <protection locked="0"/>
    </xf>
    <xf numFmtId="3" fontId="87" fillId="0" borderId="0" xfId="0" applyNumberFormat="1" applyFont="1" applyAlignment="1">
      <alignment vertical="top"/>
    </xf>
    <xf numFmtId="0" fontId="73" fillId="0" borderId="0" xfId="0" applyFont="1" applyBorder="1"/>
    <xf numFmtId="3" fontId="73" fillId="0" borderId="0" xfId="0" applyNumberFormat="1" applyFont="1" applyAlignment="1" applyProtection="1">
      <alignment horizontal="right" vertical="top" wrapText="1"/>
      <protection locked="0"/>
    </xf>
    <xf numFmtId="3" fontId="87" fillId="0" borderId="0" xfId="49" applyNumberFormat="1" applyFont="1" applyAlignment="1">
      <alignment horizontal="right" vertical="top"/>
    </xf>
    <xf numFmtId="3" fontId="73" fillId="0" borderId="0" xfId="0" applyNumberFormat="1" applyFont="1" applyAlignment="1">
      <alignment vertical="top"/>
    </xf>
    <xf numFmtId="3" fontId="87" fillId="0" borderId="0" xfId="150" applyNumberFormat="1" applyFont="1" applyAlignment="1">
      <alignment horizontal="right" vertical="top"/>
    </xf>
    <xf numFmtId="3" fontId="78" fillId="0" borderId="0" xfId="0" applyNumberFormat="1" applyFont="1" applyAlignment="1">
      <alignment horizontal="right" vertical="top"/>
    </xf>
    <xf numFmtId="3" fontId="78" fillId="0" borderId="0" xfId="42" applyNumberFormat="1" applyFont="1" applyAlignment="1">
      <alignment wrapText="1"/>
    </xf>
    <xf numFmtId="3" fontId="87" fillId="0" borderId="0" xfId="42" applyNumberFormat="1" applyFont="1"/>
    <xf numFmtId="164" fontId="83" fillId="0" borderId="10" xfId="86" applyFont="1" applyFill="1" applyBorder="1" applyAlignment="1">
      <alignment horizontal="center" vertical="top" wrapText="1"/>
    </xf>
    <xf numFmtId="166" fontId="37" fillId="0" borderId="0" xfId="35" applyNumberFormat="1" applyFont="1" applyAlignment="1">
      <alignment horizontal="left" wrapText="1"/>
    </xf>
    <xf numFmtId="0" fontId="83" fillId="27" borderId="16" xfId="27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2" fillId="0" borderId="0" xfId="0" applyFont="1" applyAlignment="1">
      <alignment vertical="top" wrapText="1"/>
    </xf>
    <xf numFmtId="166" fontId="83" fillId="30" borderId="15" xfId="270" applyNumberFormat="1" applyFont="1" applyFill="1" applyBorder="1" applyAlignment="1">
      <alignment horizontal="center" vertical="top" wrapText="1"/>
    </xf>
    <xf numFmtId="166" fontId="83" fillId="30" borderId="13" xfId="270" applyNumberFormat="1" applyFont="1" applyFill="1" applyBorder="1" applyAlignment="1">
      <alignment horizontal="center" vertical="top" wrapText="1"/>
    </xf>
    <xf numFmtId="166" fontId="83" fillId="30" borderId="16" xfId="270" applyNumberFormat="1" applyFont="1" applyFill="1" applyBorder="1" applyAlignment="1">
      <alignment horizontal="center" vertical="top" wrapText="1"/>
    </xf>
    <xf numFmtId="166" fontId="83" fillId="0" borderId="13" xfId="270" applyNumberFormat="1" applyFont="1" applyBorder="1" applyAlignment="1">
      <alignment horizontal="right" vertical="top" wrapText="1"/>
    </xf>
    <xf numFmtId="166" fontId="83" fillId="27" borderId="13" xfId="270" applyNumberFormat="1" applyFont="1" applyFill="1" applyBorder="1" applyAlignment="1">
      <alignment horizontal="right" vertical="top" wrapText="1"/>
    </xf>
    <xf numFmtId="166" fontId="83" fillId="32" borderId="13" xfId="270" applyNumberFormat="1" applyFont="1" applyFill="1" applyBorder="1" applyAlignment="1">
      <alignment horizontal="right" vertical="top" wrapText="1"/>
    </xf>
    <xf numFmtId="166" fontId="83" fillId="27" borderId="16" xfId="270" applyNumberFormat="1" applyFont="1" applyFill="1" applyBorder="1" applyAlignment="1">
      <alignment horizontal="center" vertical="top" wrapText="1"/>
    </xf>
    <xf numFmtId="9" fontId="83" fillId="0" borderId="10" xfId="149" applyFont="1" applyFill="1" applyBorder="1" applyAlignment="1">
      <alignment horizontal="center" vertical="top" wrapText="1"/>
    </xf>
    <xf numFmtId="0" fontId="40" fillId="0" borderId="0" xfId="35" applyFont="1" applyAlignment="1">
      <alignment horizontal="left" vertical="top"/>
    </xf>
    <xf numFmtId="3" fontId="40" fillId="0" borderId="0" xfId="35" applyNumberFormat="1" applyFont="1" applyAlignment="1">
      <alignment vertical="top"/>
    </xf>
    <xf numFmtId="0" fontId="34" fillId="0" borderId="0" xfId="35" applyFont="1" applyAlignment="1">
      <alignment horizontal="left" vertical="top"/>
    </xf>
    <xf numFmtId="3" fontId="107" fillId="0" borderId="0" xfId="35" applyNumberFormat="1" applyFont="1" applyAlignment="1">
      <alignment vertical="top"/>
    </xf>
    <xf numFmtId="0" fontId="35" fillId="0" borderId="0" xfId="35" applyFont="1" applyAlignment="1">
      <alignment horizontal="left" vertical="top" indent="1"/>
    </xf>
    <xf numFmtId="3" fontId="77" fillId="0" borderId="0" xfId="35" applyNumberFormat="1" applyFont="1" applyAlignment="1">
      <alignment vertical="top"/>
    </xf>
    <xf numFmtId="0" fontId="35" fillId="0" borderId="0" xfId="35" applyFont="1" applyAlignment="1">
      <alignment horizontal="left" vertical="top" indent="2"/>
    </xf>
    <xf numFmtId="0" fontId="42" fillId="28" borderId="0" xfId="35" applyFont="1" applyFill="1" applyAlignment="1">
      <alignment horizontal="right" vertical="top"/>
    </xf>
    <xf numFmtId="3" fontId="75" fillId="28" borderId="0" xfId="35" applyNumberFormat="1" applyFont="1" applyFill="1" applyAlignment="1">
      <alignment vertical="top"/>
    </xf>
    <xf numFmtId="9" fontId="42" fillId="28" borderId="0" xfId="149" applyFont="1" applyFill="1" applyAlignment="1">
      <alignment vertical="top"/>
    </xf>
    <xf numFmtId="0" fontId="0" fillId="27" borderId="0" xfId="0" applyFill="1"/>
    <xf numFmtId="0" fontId="41" fillId="0" borderId="0" xfId="35" applyFont="1" applyAlignment="1">
      <alignment horizontal="left" vertical="top"/>
    </xf>
    <xf numFmtId="3" fontId="13" fillId="0" borderId="0" xfId="35" applyNumberFormat="1" applyFont="1" applyAlignment="1">
      <alignment vertical="top"/>
    </xf>
    <xf numFmtId="3" fontId="73" fillId="0" borderId="0" xfId="35" applyNumberFormat="1" applyFont="1" applyAlignment="1">
      <alignment vertical="top"/>
    </xf>
    <xf numFmtId="3" fontId="48" fillId="0" borderId="0" xfId="0" applyNumberFormat="1" applyFont="1"/>
    <xf numFmtId="9" fontId="48" fillId="0" borderId="0" xfId="149" applyFont="1" applyAlignment="1">
      <alignment vertical="top"/>
    </xf>
    <xf numFmtId="0" fontId="35" fillId="0" borderId="0" xfId="35" applyFont="1" applyAlignment="1">
      <alignment horizontal="left" vertical="top"/>
    </xf>
    <xf numFmtId="3" fontId="48" fillId="0" borderId="0" xfId="0" applyNumberFormat="1" applyFont="1" applyAlignment="1">
      <alignment vertical="top"/>
    </xf>
    <xf numFmtId="0" fontId="41" fillId="0" borderId="0" xfId="36" applyFont="1" applyAlignment="1">
      <alignment horizontal="left" vertical="top"/>
    </xf>
    <xf numFmtId="3" fontId="73" fillId="0" borderId="0" xfId="36" applyNumberFormat="1" applyFont="1" applyAlignment="1">
      <alignment vertical="top"/>
    </xf>
    <xf numFmtId="3" fontId="85" fillId="0" borderId="0" xfId="35" applyNumberFormat="1" applyFont="1" applyAlignment="1">
      <alignment vertical="top"/>
    </xf>
    <xf numFmtId="9" fontId="73" fillId="0" borderId="0" xfId="149" applyFont="1" applyAlignment="1">
      <alignment vertical="top"/>
    </xf>
    <xf numFmtId="3" fontId="108" fillId="0" borderId="0" xfId="35" applyNumberFormat="1" applyFont="1" applyAlignment="1">
      <alignment vertical="top"/>
    </xf>
    <xf numFmtId="9" fontId="40" fillId="0" borderId="0" xfId="149" applyFont="1" applyAlignment="1">
      <alignment vertical="top"/>
    </xf>
    <xf numFmtId="9" fontId="13" fillId="0" borderId="0" xfId="149" applyFont="1" applyAlignment="1">
      <alignment vertical="top" wrapText="1"/>
    </xf>
    <xf numFmtId="3" fontId="74" fillId="0" borderId="0" xfId="35" applyNumberFormat="1" applyFont="1" applyAlignment="1">
      <alignment vertical="top" wrapText="1"/>
    </xf>
    <xf numFmtId="9" fontId="48" fillId="0" borderId="0" xfId="149" applyFont="1" applyAlignment="1">
      <alignment vertical="top" wrapText="1"/>
    </xf>
    <xf numFmtId="0" fontId="42" fillId="0" borderId="0" xfId="35" applyFont="1" applyAlignment="1">
      <alignment horizontal="left" vertical="top" wrapText="1" indent="2"/>
    </xf>
    <xf numFmtId="3" fontId="42" fillId="0" borderId="0" xfId="35" applyNumberFormat="1" applyFont="1" applyAlignment="1">
      <alignment vertical="top" wrapText="1"/>
    </xf>
    <xf numFmtId="3" fontId="75" fillId="0" borderId="0" xfId="35" applyNumberFormat="1" applyFont="1" applyAlignment="1">
      <alignment vertical="top" wrapText="1"/>
    </xf>
    <xf numFmtId="9" fontId="42" fillId="0" borderId="0" xfId="149" applyFont="1" applyAlignment="1">
      <alignment vertical="top" wrapText="1"/>
    </xf>
    <xf numFmtId="0" fontId="41" fillId="0" borderId="0" xfId="35" applyFont="1" applyAlignment="1">
      <alignment horizontal="left" vertical="top" wrapText="1"/>
    </xf>
    <xf numFmtId="3" fontId="13" fillId="0" borderId="0" xfId="35" applyNumberFormat="1" applyFont="1" applyAlignment="1">
      <alignment vertical="top" wrapText="1"/>
    </xf>
    <xf numFmtId="3" fontId="73" fillId="0" borderId="0" xfId="35" applyNumberFormat="1" applyFont="1" applyAlignment="1">
      <alignment vertical="top" wrapText="1"/>
    </xf>
    <xf numFmtId="0" fontId="42" fillId="0" borderId="0" xfId="35" applyFont="1" applyAlignment="1">
      <alignment horizontal="left" vertical="top" indent="1"/>
    </xf>
    <xf numFmtId="0" fontId="32" fillId="0" borderId="0" xfId="35" applyFont="1" applyAlignment="1">
      <alignment horizontal="left" vertical="top" indent="2"/>
    </xf>
    <xf numFmtId="3" fontId="32" fillId="0" borderId="0" xfId="35" applyNumberFormat="1" applyFont="1" applyAlignment="1">
      <alignment vertical="top"/>
    </xf>
    <xf numFmtId="3" fontId="78" fillId="0" borderId="0" xfId="35" applyNumberFormat="1" applyFont="1" applyAlignment="1">
      <alignment vertical="top"/>
    </xf>
    <xf numFmtId="9" fontId="32" fillId="0" borderId="0" xfId="149" applyFont="1" applyAlignment="1">
      <alignment vertical="top"/>
    </xf>
    <xf numFmtId="0" fontId="32" fillId="0" borderId="0" xfId="35" applyFont="1" applyAlignment="1">
      <alignment horizontal="left" vertical="top" wrapText="1"/>
    </xf>
    <xf numFmtId="3" fontId="32" fillId="0" borderId="0" xfId="35" applyNumberFormat="1" applyFont="1" applyAlignment="1">
      <alignment vertical="top" wrapText="1"/>
    </xf>
    <xf numFmtId="3" fontId="78" fillId="0" borderId="0" xfId="35" applyNumberFormat="1" applyFont="1" applyAlignment="1">
      <alignment vertical="top" wrapText="1"/>
    </xf>
    <xf numFmtId="9" fontId="32" fillId="0" borderId="0" xfId="149" applyFont="1" applyAlignment="1">
      <alignment vertical="top" wrapText="1"/>
    </xf>
    <xf numFmtId="0" fontId="50" fillId="0" borderId="0" xfId="42" applyFont="1" applyAlignment="1">
      <alignment wrapText="1"/>
    </xf>
    <xf numFmtId="3" fontId="50" fillId="0" borderId="0" xfId="42" applyNumberFormat="1" applyFont="1" applyAlignment="1">
      <alignment wrapText="1"/>
    </xf>
    <xf numFmtId="3" fontId="87" fillId="0" borderId="0" xfId="42" applyNumberFormat="1" applyFont="1" applyAlignment="1">
      <alignment wrapText="1"/>
    </xf>
    <xf numFmtId="9" fontId="50" fillId="0" borderId="0" xfId="149" applyFont="1" applyAlignment="1">
      <alignment wrapText="1"/>
    </xf>
    <xf numFmtId="0" fontId="48" fillId="0" borderId="0" xfId="35" applyFont="1" applyAlignment="1">
      <alignment horizontal="left" vertical="top" wrapText="1" indent="2"/>
    </xf>
    <xf numFmtId="0" fontId="37" fillId="0" borderId="0" xfId="35" applyFont="1" applyAlignment="1">
      <alignment horizontal="left" vertical="top"/>
    </xf>
    <xf numFmtId="3" fontId="37" fillId="0" borderId="0" xfId="35" applyNumberFormat="1" applyFont="1" applyAlignment="1">
      <alignment vertical="top"/>
    </xf>
    <xf numFmtId="3" fontId="109" fillId="0" borderId="0" xfId="35" applyNumberFormat="1" applyFont="1" applyAlignment="1">
      <alignment vertical="top"/>
    </xf>
    <xf numFmtId="9" fontId="37" fillId="0" borderId="0" xfId="149" applyFont="1" applyAlignment="1">
      <alignment vertical="top"/>
    </xf>
    <xf numFmtId="0" fontId="34" fillId="0" borderId="0" xfId="0" applyFont="1" applyAlignment="1">
      <alignment horizontal="left" vertical="top" indent="2"/>
    </xf>
    <xf numFmtId="3" fontId="107" fillId="0" borderId="0" xfId="0" applyNumberFormat="1" applyFont="1" applyAlignment="1">
      <alignment vertical="top"/>
    </xf>
    <xf numFmtId="3" fontId="73" fillId="0" borderId="0" xfId="31" applyNumberFormat="1" applyFont="1" applyFill="1" applyBorder="1" applyAlignment="1" applyProtection="1">
      <alignment vertical="top" wrapText="1"/>
    </xf>
    <xf numFmtId="3" fontId="75" fillId="0" borderId="0" xfId="31" applyNumberFormat="1" applyFont="1" applyFill="1" applyBorder="1" applyAlignment="1" applyProtection="1">
      <alignment vertical="top" wrapText="1"/>
    </xf>
    <xf numFmtId="9" fontId="42" fillId="0" borderId="0" xfId="149" quotePrefix="1" applyFont="1" applyAlignment="1">
      <alignment vertical="top" wrapText="1"/>
    </xf>
    <xf numFmtId="0" fontId="48" fillId="0" borderId="0" xfId="35" applyFont="1" applyAlignment="1">
      <alignment horizontal="left" vertical="top" indent="3"/>
    </xf>
    <xf numFmtId="0" fontId="42" fillId="0" borderId="0" xfId="36" quotePrefix="1" applyFont="1" applyAlignment="1">
      <alignment horizontal="left" vertical="top" wrapText="1" indent="1"/>
    </xf>
    <xf numFmtId="3" fontId="42" fillId="0" borderId="0" xfId="36" quotePrefix="1" applyNumberFormat="1" applyFont="1" applyAlignment="1">
      <alignment vertical="top" wrapText="1"/>
    </xf>
    <xf numFmtId="3" fontId="75" fillId="0" borderId="0" xfId="36" quotePrefix="1" applyNumberFormat="1" applyFont="1" applyAlignment="1">
      <alignment vertical="top" wrapText="1"/>
    </xf>
    <xf numFmtId="0" fontId="39" fillId="0" borderId="0" xfId="0" applyFont="1" applyAlignment="1">
      <alignment horizontal="left" vertical="top" indent="1"/>
    </xf>
    <xf numFmtId="9" fontId="42" fillId="0" borderId="0" xfId="149" quotePrefix="1" applyFont="1" applyAlignment="1">
      <alignment vertical="top"/>
    </xf>
    <xf numFmtId="0" fontId="48" fillId="0" borderId="0" xfId="35" applyFont="1" applyAlignment="1">
      <alignment horizontal="left" vertical="top" indent="4"/>
    </xf>
    <xf numFmtId="3" fontId="42" fillId="0" borderId="0" xfId="36" applyNumberFormat="1" applyFont="1" applyAlignment="1">
      <alignment vertical="top" wrapText="1"/>
    </xf>
    <xf numFmtId="3" fontId="75" fillId="0" borderId="0" xfId="36" applyNumberFormat="1" applyFont="1" applyAlignment="1">
      <alignment vertical="top" wrapText="1"/>
    </xf>
    <xf numFmtId="3" fontId="32" fillId="0" borderId="0" xfId="0" applyNumberFormat="1" applyFont="1" applyAlignment="1">
      <alignment vertical="top"/>
    </xf>
    <xf numFmtId="0" fontId="32" fillId="0" borderId="0" xfId="35" applyFont="1" applyAlignment="1">
      <alignment horizontal="left" vertical="top"/>
    </xf>
    <xf numFmtId="0" fontId="35" fillId="0" borderId="0" xfId="35" applyFont="1" applyAlignment="1">
      <alignment horizontal="left" vertical="top" indent="3"/>
    </xf>
    <xf numFmtId="0" fontId="42" fillId="0" borderId="0" xfId="36" applyFont="1" applyAlignment="1">
      <alignment horizontal="left" vertical="top" wrapText="1" indent="1"/>
    </xf>
    <xf numFmtId="0" fontId="42" fillId="0" borderId="0" xfId="36" quotePrefix="1" applyFont="1" applyAlignment="1">
      <alignment horizontal="left" vertical="top" indent="1"/>
    </xf>
    <xf numFmtId="3" fontId="42" fillId="0" borderId="0" xfId="36" quotePrefix="1" applyNumberFormat="1" applyFont="1" applyAlignment="1">
      <alignment vertical="top"/>
    </xf>
    <xf numFmtId="3" fontId="75" fillId="0" borderId="0" xfId="36" quotePrefix="1" applyNumberFormat="1" applyFont="1" applyAlignment="1">
      <alignment vertical="top"/>
    </xf>
    <xf numFmtId="3" fontId="85" fillId="0" borderId="0" xfId="35" applyNumberFormat="1" applyFont="1" applyAlignment="1">
      <alignment vertical="top" wrapText="1"/>
    </xf>
    <xf numFmtId="0" fontId="87" fillId="0" borderId="0" xfId="42" applyFont="1" applyAlignment="1">
      <alignment wrapText="1"/>
    </xf>
    <xf numFmtId="0" fontId="86" fillId="0" borderId="0" xfId="35" applyFont="1" applyAlignment="1">
      <alignment horizontal="left" vertical="top"/>
    </xf>
    <xf numFmtId="0" fontId="83" fillId="27" borderId="13" xfId="270" applyFont="1" applyFill="1" applyBorder="1" applyAlignment="1">
      <alignment horizontal="center" vertical="top" wrapText="1"/>
    </xf>
    <xf numFmtId="0" fontId="84" fillId="0" borderId="0" xfId="49" applyFont="1" applyAlignment="1">
      <alignment horizontal="right" vertical="top" wrapText="1"/>
    </xf>
    <xf numFmtId="3" fontId="84" fillId="0" borderId="0" xfId="150" applyNumberFormat="1" applyFont="1" applyAlignment="1" applyProtection="1">
      <alignment vertical="top" wrapText="1"/>
      <protection locked="0"/>
    </xf>
    <xf numFmtId="0" fontId="34" fillId="0" borderId="10" xfId="275" applyFont="1" applyBorder="1" applyAlignment="1">
      <alignment horizontal="center"/>
    </xf>
    <xf numFmtId="0" fontId="43" fillId="28" borderId="0" xfId="271" applyFont="1" applyFill="1" applyAlignment="1">
      <alignment horizontal="center"/>
    </xf>
    <xf numFmtId="0" fontId="83" fillId="0" borderId="10" xfId="270" applyNumberFormat="1" applyFont="1" applyFill="1" applyBorder="1" applyAlignment="1">
      <alignment horizontal="center" vertical="top" wrapText="1"/>
    </xf>
    <xf numFmtId="164" fontId="83" fillId="27" borderId="11" xfId="86" applyFont="1" applyFill="1" applyBorder="1" applyAlignment="1">
      <alignment horizontal="center" vertical="top" wrapText="1"/>
    </xf>
    <xf numFmtId="164" fontId="83" fillId="27" borderId="12" xfId="86" applyFont="1" applyFill="1" applyBorder="1" applyAlignment="1">
      <alignment horizontal="center" vertical="top" wrapText="1"/>
    </xf>
    <xf numFmtId="164" fontId="83" fillId="0" borderId="10" xfId="86" applyFont="1" applyFill="1" applyBorder="1" applyAlignment="1">
      <alignment horizontal="center" vertical="top" wrapText="1"/>
    </xf>
    <xf numFmtId="0" fontId="83" fillId="27" borderId="10" xfId="270" applyNumberFormat="1" applyFont="1" applyFill="1" applyBorder="1" applyAlignment="1">
      <alignment horizontal="center" vertical="top" wrapText="1"/>
    </xf>
    <xf numFmtId="0" fontId="94" fillId="0" borderId="11" xfId="42" applyFont="1" applyBorder="1" applyAlignment="1">
      <alignment horizontal="center" vertical="top" wrapText="1"/>
    </xf>
    <xf numFmtId="0" fontId="94" fillId="0" borderId="12" xfId="42" applyFont="1" applyBorder="1" applyAlignment="1">
      <alignment horizontal="center" vertical="top" wrapText="1"/>
    </xf>
    <xf numFmtId="0" fontId="94" fillId="0" borderId="15" xfId="42" applyFont="1" applyBorder="1" applyAlignment="1">
      <alignment horizontal="center" vertical="top"/>
    </xf>
    <xf numFmtId="0" fontId="94" fillId="0" borderId="13" xfId="42" applyFont="1" applyBorder="1" applyAlignment="1">
      <alignment horizontal="center" vertical="top"/>
    </xf>
    <xf numFmtId="0" fontId="94" fillId="0" borderId="16" xfId="42" applyFont="1" applyBorder="1" applyAlignment="1">
      <alignment horizontal="center" vertical="top"/>
    </xf>
    <xf numFmtId="0" fontId="93" fillId="0" borderId="10" xfId="0" applyFont="1" applyBorder="1" applyAlignment="1">
      <alignment horizontal="left" vertical="center"/>
    </xf>
    <xf numFmtId="0" fontId="96" fillId="0" borderId="10" xfId="0" applyFont="1" applyBorder="1" applyAlignment="1">
      <alignment horizontal="left" vertical="center"/>
    </xf>
    <xf numFmtId="0" fontId="83" fillId="31" borderId="10" xfId="0" applyFont="1" applyFill="1" applyBorder="1" applyAlignment="1">
      <alignment horizontal="center"/>
    </xf>
    <xf numFmtId="164" fontId="83" fillId="0" borderId="15" xfId="86" applyFont="1" applyFill="1" applyBorder="1" applyAlignment="1">
      <alignment horizontal="center" vertical="top" wrapText="1"/>
    </xf>
    <xf numFmtId="164" fontId="83" fillId="0" borderId="13" xfId="86" applyFont="1" applyFill="1" applyBorder="1" applyAlignment="1">
      <alignment horizontal="center" vertical="top" wrapText="1"/>
    </xf>
    <xf numFmtId="164" fontId="83" fillId="0" borderId="16" xfId="86" applyFont="1" applyFill="1" applyBorder="1" applyAlignment="1">
      <alignment horizontal="center" vertical="top" wrapText="1"/>
    </xf>
    <xf numFmtId="0" fontId="83" fillId="0" borderId="15" xfId="42" applyFont="1" applyBorder="1" applyAlignment="1">
      <alignment horizontal="center" vertical="top" wrapText="1"/>
    </xf>
    <xf numFmtId="0" fontId="83" fillId="0" borderId="13" xfId="42" applyFont="1" applyBorder="1" applyAlignment="1">
      <alignment horizontal="center" vertical="top" wrapText="1"/>
    </xf>
    <xf numFmtId="0" fontId="83" fillId="0" borderId="16" xfId="42" applyFont="1" applyBorder="1" applyAlignment="1">
      <alignment horizontal="center" vertical="top" wrapText="1"/>
    </xf>
    <xf numFmtId="0" fontId="83" fillId="30" borderId="15" xfId="0" applyFont="1" applyFill="1" applyBorder="1" applyAlignment="1">
      <alignment horizontal="center"/>
    </xf>
    <xf numFmtId="0" fontId="83" fillId="30" borderId="13" xfId="0" applyFont="1" applyFill="1" applyBorder="1" applyAlignment="1">
      <alignment horizontal="center"/>
    </xf>
    <xf numFmtId="0" fontId="83" fillId="30" borderId="16" xfId="0" applyFont="1" applyFill="1" applyBorder="1" applyAlignment="1">
      <alignment horizontal="center"/>
    </xf>
    <xf numFmtId="0" fontId="83" fillId="31" borderId="15" xfId="0" applyFont="1" applyFill="1" applyBorder="1" applyAlignment="1">
      <alignment horizontal="center"/>
    </xf>
    <xf numFmtId="0" fontId="83" fillId="31" borderId="13" xfId="0" applyFont="1" applyFill="1" applyBorder="1" applyAlignment="1">
      <alignment horizontal="center"/>
    </xf>
    <xf numFmtId="0" fontId="83" fillId="31" borderId="16" xfId="0" applyFont="1" applyFill="1" applyBorder="1" applyAlignment="1">
      <alignment horizontal="center"/>
    </xf>
    <xf numFmtId="0" fontId="44" fillId="0" borderId="11" xfId="42" applyFont="1" applyBorder="1" applyAlignment="1">
      <alignment horizontal="center" wrapText="1"/>
    </xf>
    <xf numFmtId="0" fontId="44" fillId="0" borderId="18" xfId="42" applyFont="1" applyBorder="1" applyAlignment="1">
      <alignment horizontal="center" wrapText="1"/>
    </xf>
    <xf numFmtId="0" fontId="44" fillId="0" borderId="27" xfId="42" applyFont="1" applyBorder="1" applyAlignment="1">
      <alignment horizontal="center" wrapText="1"/>
    </xf>
    <xf numFmtId="0" fontId="44" fillId="0" borderId="11" xfId="42" applyFont="1" applyBorder="1" applyAlignment="1">
      <alignment horizontal="center"/>
    </xf>
    <xf numFmtId="0" fontId="44" fillId="0" borderId="18" xfId="42" applyFont="1" applyBorder="1" applyAlignment="1">
      <alignment horizontal="center"/>
    </xf>
    <xf numFmtId="0" fontId="44" fillId="0" borderId="12" xfId="42" applyFont="1" applyBorder="1" applyAlignment="1">
      <alignment horizontal="center"/>
    </xf>
    <xf numFmtId="0" fontId="44" fillId="0" borderId="12" xfId="42" applyFont="1" applyBorder="1" applyAlignment="1">
      <alignment horizontal="center" wrapText="1"/>
    </xf>
    <xf numFmtId="0" fontId="38" fillId="0" borderId="36" xfId="42" applyFont="1" applyBorder="1" applyAlignment="1">
      <alignment vertical="top" wrapText="1"/>
    </xf>
    <xf numFmtId="0" fontId="38" fillId="0" borderId="13" xfId="42" applyFont="1" applyBorder="1" applyAlignment="1">
      <alignment vertical="top" wrapText="1"/>
    </xf>
    <xf numFmtId="0" fontId="38" fillId="0" borderId="37" xfId="42" applyFont="1" applyBorder="1" applyAlignment="1">
      <alignment vertical="top" wrapText="1"/>
    </xf>
    <xf numFmtId="0" fontId="44" fillId="0" borderId="38" xfId="42" applyFont="1" applyBorder="1" applyAlignment="1">
      <alignment horizontal="center" vertical="top"/>
    </xf>
    <xf numFmtId="0" fontId="44" fillId="0" borderId="40" xfId="42" applyFont="1" applyBorder="1" applyAlignment="1">
      <alignment horizontal="center" vertical="top"/>
    </xf>
    <xf numFmtId="0" fontId="44" fillId="0" borderId="26" xfId="42" applyFont="1" applyBorder="1" applyAlignment="1">
      <alignment horizontal="center" vertical="top"/>
    </xf>
    <xf numFmtId="0" fontId="44" fillId="0" borderId="27" xfId="42" applyFont="1" applyBorder="1" applyAlignment="1">
      <alignment horizontal="center"/>
    </xf>
    <xf numFmtId="0" fontId="34" fillId="0" borderId="0" xfId="42" applyFont="1" applyAlignment="1">
      <alignment horizontal="center"/>
    </xf>
    <xf numFmtId="0" fontId="91" fillId="0" borderId="22" xfId="42" applyFont="1" applyBorder="1" applyAlignment="1">
      <alignment horizontal="center" vertical="top" wrapText="1"/>
    </xf>
    <xf numFmtId="0" fontId="91" fillId="0" borderId="23" xfId="42" applyFont="1" applyBorder="1" applyAlignment="1">
      <alignment horizontal="center" vertical="top" wrapText="1"/>
    </xf>
    <xf numFmtId="0" fontId="91" fillId="0" borderId="24" xfId="42" applyFont="1" applyBorder="1" applyAlignment="1">
      <alignment horizontal="center" vertical="top" wrapText="1"/>
    </xf>
    <xf numFmtId="0" fontId="44" fillId="0" borderId="33" xfId="42" applyFont="1" applyBorder="1" applyAlignment="1">
      <alignment horizontal="center" vertical="top"/>
    </xf>
    <xf numFmtId="0" fontId="34" fillId="0" borderId="0" xfId="275" applyFont="1" applyAlignment="1">
      <alignment horizontal="right"/>
    </xf>
    <xf numFmtId="0" fontId="43" fillId="0" borderId="0" xfId="271" applyFont="1"/>
    <xf numFmtId="0" fontId="43" fillId="0" borderId="0" xfId="271" applyFont="1" applyAlignment="1">
      <alignment horizontal="center"/>
    </xf>
    <xf numFmtId="0" fontId="44" fillId="0" borderId="0" xfId="271" applyFont="1" applyAlignment="1">
      <alignment horizontal="right"/>
    </xf>
    <xf numFmtId="0" fontId="80" fillId="0" borderId="10" xfId="275" applyFont="1" applyBorder="1" applyAlignment="1">
      <alignment horizontal="center"/>
    </xf>
    <xf numFmtId="0" fontId="34" fillId="0" borderId="0" xfId="275" applyFont="1" applyAlignment="1">
      <alignment horizontal="center" vertical="top" wrapText="1"/>
    </xf>
    <xf numFmtId="0" fontId="34" fillId="0" borderId="0" xfId="271" applyFont="1" applyAlignment="1">
      <alignment horizontal="left"/>
    </xf>
  </cellXfs>
  <cellStyles count="283">
    <cellStyle name="20% - Accent1" xfId="1" builtinId="30" customBuiltin="1"/>
    <cellStyle name="20% - Accent1 2" xfId="51" xr:uid="{00000000-0005-0000-0000-000001000000}"/>
    <cellStyle name="20% - Accent1 3" xfId="156" xr:uid="{00000000-0005-0000-0000-000002000000}"/>
    <cellStyle name="20% - Accent2" xfId="2" builtinId="34" customBuiltin="1"/>
    <cellStyle name="20% - Accent2 2" xfId="52" xr:uid="{00000000-0005-0000-0000-000004000000}"/>
    <cellStyle name="20% - Accent2 3" xfId="157" xr:uid="{00000000-0005-0000-0000-000005000000}"/>
    <cellStyle name="20% - Accent3" xfId="3" builtinId="38" customBuiltin="1"/>
    <cellStyle name="20% - Accent3 2" xfId="53" xr:uid="{00000000-0005-0000-0000-000007000000}"/>
    <cellStyle name="20% - Accent3 3" xfId="158" xr:uid="{00000000-0005-0000-0000-000008000000}"/>
    <cellStyle name="20% - Accent4" xfId="4" builtinId="42" customBuiltin="1"/>
    <cellStyle name="20% - Accent4 2" xfId="54" xr:uid="{00000000-0005-0000-0000-00000A000000}"/>
    <cellStyle name="20% - Accent4 3" xfId="159" xr:uid="{00000000-0005-0000-0000-00000B000000}"/>
    <cellStyle name="20% - Accent5" xfId="5" builtinId="46" customBuiltin="1"/>
    <cellStyle name="20% - Accent5 2" xfId="55" xr:uid="{00000000-0005-0000-0000-00000D000000}"/>
    <cellStyle name="20% - Accent5 3" xfId="160" xr:uid="{00000000-0005-0000-0000-00000E000000}"/>
    <cellStyle name="20% - Accent6" xfId="6" builtinId="50" customBuiltin="1"/>
    <cellStyle name="20% - Accent6 2" xfId="56" xr:uid="{00000000-0005-0000-0000-000010000000}"/>
    <cellStyle name="20% - Accent6 3" xfId="161" xr:uid="{00000000-0005-0000-0000-000011000000}"/>
    <cellStyle name="40% - Accent1" xfId="7" builtinId="31" customBuiltin="1"/>
    <cellStyle name="40% - Accent1 2" xfId="57" xr:uid="{00000000-0005-0000-0000-000013000000}"/>
    <cellStyle name="40% - Accent1 3" xfId="162" xr:uid="{00000000-0005-0000-0000-000014000000}"/>
    <cellStyle name="40% - Accent2" xfId="8" builtinId="35" customBuiltin="1"/>
    <cellStyle name="40% - Accent2 2" xfId="58" xr:uid="{00000000-0005-0000-0000-000016000000}"/>
    <cellStyle name="40% - Accent2 3" xfId="163" xr:uid="{00000000-0005-0000-0000-000017000000}"/>
    <cellStyle name="40% - Accent3" xfId="9" builtinId="39" customBuiltin="1"/>
    <cellStyle name="40% - Accent3 2" xfId="59" xr:uid="{00000000-0005-0000-0000-000019000000}"/>
    <cellStyle name="40% - Accent3 3" xfId="164" xr:uid="{00000000-0005-0000-0000-00001A000000}"/>
    <cellStyle name="40% - Accent4" xfId="10" builtinId="43" customBuiltin="1"/>
    <cellStyle name="40% - Accent4 2" xfId="60" xr:uid="{00000000-0005-0000-0000-00001C000000}"/>
    <cellStyle name="40% - Accent4 3" xfId="165" xr:uid="{00000000-0005-0000-0000-00001D000000}"/>
    <cellStyle name="40% - Accent5" xfId="11" builtinId="47" customBuiltin="1"/>
    <cellStyle name="40% - Accent5 2" xfId="61" xr:uid="{00000000-0005-0000-0000-00001F000000}"/>
    <cellStyle name="40% - Accent5 3" xfId="166" xr:uid="{00000000-0005-0000-0000-000020000000}"/>
    <cellStyle name="40% - Accent6" xfId="12" builtinId="51" customBuiltin="1"/>
    <cellStyle name="40% - Accent6 2" xfId="62" xr:uid="{00000000-0005-0000-0000-000022000000}"/>
    <cellStyle name="40% - Accent6 3" xfId="167" xr:uid="{00000000-0005-0000-0000-000023000000}"/>
    <cellStyle name="60% - Accent1" xfId="13" builtinId="32" customBuiltin="1"/>
    <cellStyle name="60% - Accent1 2" xfId="63" xr:uid="{00000000-0005-0000-0000-000025000000}"/>
    <cellStyle name="60% - Accent1 3" xfId="168" xr:uid="{00000000-0005-0000-0000-000026000000}"/>
    <cellStyle name="60% - Accent2" xfId="14" builtinId="36" customBuiltin="1"/>
    <cellStyle name="60% - Accent2 2" xfId="64" xr:uid="{00000000-0005-0000-0000-000028000000}"/>
    <cellStyle name="60% - Accent2 3" xfId="169" xr:uid="{00000000-0005-0000-0000-000029000000}"/>
    <cellStyle name="60% - Accent3" xfId="15" builtinId="40" customBuiltin="1"/>
    <cellStyle name="60% - Accent3 2" xfId="65" xr:uid="{00000000-0005-0000-0000-00002B000000}"/>
    <cellStyle name="60% - Accent3 3" xfId="170" xr:uid="{00000000-0005-0000-0000-00002C000000}"/>
    <cellStyle name="60% - Accent4" xfId="16" builtinId="44" customBuiltin="1"/>
    <cellStyle name="60% - Accent4 2" xfId="66" xr:uid="{00000000-0005-0000-0000-00002E000000}"/>
    <cellStyle name="60% - Accent4 3" xfId="171" xr:uid="{00000000-0005-0000-0000-00002F000000}"/>
    <cellStyle name="60% - Accent5" xfId="17" builtinId="48" customBuiltin="1"/>
    <cellStyle name="60% - Accent5 2" xfId="67" xr:uid="{00000000-0005-0000-0000-000031000000}"/>
    <cellStyle name="60% - Accent5 3" xfId="172" xr:uid="{00000000-0005-0000-0000-000032000000}"/>
    <cellStyle name="60% - Accent6" xfId="18" builtinId="52" customBuiltin="1"/>
    <cellStyle name="60% - Accent6 2" xfId="68" xr:uid="{00000000-0005-0000-0000-000034000000}"/>
    <cellStyle name="60% - Accent6 3" xfId="173" xr:uid="{00000000-0005-0000-0000-000035000000}"/>
    <cellStyle name="Accent1" xfId="19" builtinId="29" customBuiltin="1"/>
    <cellStyle name="Accent1 2" xfId="69" xr:uid="{00000000-0005-0000-0000-000037000000}"/>
    <cellStyle name="Accent1 3" xfId="174" xr:uid="{00000000-0005-0000-0000-000038000000}"/>
    <cellStyle name="Accent2" xfId="20" builtinId="33" customBuiltin="1"/>
    <cellStyle name="Accent2 2" xfId="70" xr:uid="{00000000-0005-0000-0000-00003A000000}"/>
    <cellStyle name="Accent2 3" xfId="175" xr:uid="{00000000-0005-0000-0000-00003B000000}"/>
    <cellStyle name="Accent3" xfId="21" builtinId="37" customBuiltin="1"/>
    <cellStyle name="Accent3 2" xfId="71" xr:uid="{00000000-0005-0000-0000-00003D000000}"/>
    <cellStyle name="Accent3 3" xfId="176" xr:uid="{00000000-0005-0000-0000-00003E000000}"/>
    <cellStyle name="Accent4" xfId="22" builtinId="41" customBuiltin="1"/>
    <cellStyle name="Accent4 2" xfId="72" xr:uid="{00000000-0005-0000-0000-000040000000}"/>
    <cellStyle name="Accent4 3" xfId="177" xr:uid="{00000000-0005-0000-0000-000041000000}"/>
    <cellStyle name="Accent5" xfId="46" builtinId="45" customBuiltin="1"/>
    <cellStyle name="Accent5 2" xfId="73" xr:uid="{00000000-0005-0000-0000-000043000000}"/>
    <cellStyle name="Accent5 3" xfId="178" xr:uid="{00000000-0005-0000-0000-000044000000}"/>
    <cellStyle name="Accent6" xfId="47" builtinId="49" customBuiltin="1"/>
    <cellStyle name="Accent6 2" xfId="74" xr:uid="{00000000-0005-0000-0000-000046000000}"/>
    <cellStyle name="Accent6 3" xfId="179" xr:uid="{00000000-0005-0000-0000-000047000000}"/>
    <cellStyle name="Bad" xfId="23" builtinId="27" customBuiltin="1"/>
    <cellStyle name="Bad 2" xfId="75" xr:uid="{00000000-0005-0000-0000-000049000000}"/>
    <cellStyle name="Bad 3" xfId="180" xr:uid="{00000000-0005-0000-0000-00004A000000}"/>
    <cellStyle name="Calculation" xfId="24" builtinId="22" customBuiltin="1"/>
    <cellStyle name="Calculation 2" xfId="76" xr:uid="{00000000-0005-0000-0000-00004C000000}"/>
    <cellStyle name="Calculation 3" xfId="181" xr:uid="{00000000-0005-0000-0000-00004D000000}"/>
    <cellStyle name="Check Cell" xfId="25" builtinId="23" customBuiltin="1"/>
    <cellStyle name="Check Cell 2" xfId="77" xr:uid="{00000000-0005-0000-0000-00004F000000}"/>
    <cellStyle name="Check Cell 3" xfId="182" xr:uid="{00000000-0005-0000-0000-000050000000}"/>
    <cellStyle name="Comma 2" xfId="78" xr:uid="{00000000-0005-0000-0000-000051000000}"/>
    <cellStyle name="Comma 2 2" xfId="79" xr:uid="{00000000-0005-0000-0000-000052000000}"/>
    <cellStyle name="Comma 2 3" xfId="80" xr:uid="{00000000-0005-0000-0000-000053000000}"/>
    <cellStyle name="Comma 2 4" xfId="81" xr:uid="{00000000-0005-0000-0000-000054000000}"/>
    <cellStyle name="Comma 2 5" xfId="82" xr:uid="{00000000-0005-0000-0000-000055000000}"/>
    <cellStyle name="Comma 2 6" xfId="83" xr:uid="{00000000-0005-0000-0000-000056000000}"/>
    <cellStyle name="Comma 3" xfId="84" xr:uid="{00000000-0005-0000-0000-000057000000}"/>
    <cellStyle name="Comma 4" xfId="85" xr:uid="{00000000-0005-0000-0000-000058000000}"/>
    <cellStyle name="Currency 2" xfId="86" xr:uid="{00000000-0005-0000-0000-000059000000}"/>
    <cellStyle name="Explanatory Text" xfId="26" builtinId="53" customBuiltin="1"/>
    <cellStyle name="Explanatory Text 2" xfId="87" xr:uid="{00000000-0005-0000-0000-00005B000000}"/>
    <cellStyle name="Explanatory Text 3" xfId="183" xr:uid="{00000000-0005-0000-0000-00005C000000}"/>
    <cellStyle name="Good" xfId="43" builtinId="26" customBuiltin="1"/>
    <cellStyle name="Good 2" xfId="88" xr:uid="{00000000-0005-0000-0000-00005E000000}"/>
    <cellStyle name="Good 3" xfId="184" xr:uid="{00000000-0005-0000-0000-00005F000000}"/>
    <cellStyle name="Hea 2" xfId="89" xr:uid="{00000000-0005-0000-0000-000060000000}"/>
    <cellStyle name="Hea 3" xfId="197" xr:uid="{00000000-0005-0000-0000-000061000000}"/>
    <cellStyle name="Heading 1" xfId="27" builtinId="16" customBuiltin="1"/>
    <cellStyle name="Heading 1 2" xfId="90" xr:uid="{00000000-0005-0000-0000-000063000000}"/>
    <cellStyle name="Heading 1 3" xfId="185" xr:uid="{00000000-0005-0000-0000-000064000000}"/>
    <cellStyle name="Heading 2" xfId="28" builtinId="17" customBuiltin="1"/>
    <cellStyle name="Heading 2 2" xfId="91" xr:uid="{00000000-0005-0000-0000-000066000000}"/>
    <cellStyle name="Heading 2 3" xfId="186" xr:uid="{00000000-0005-0000-0000-000067000000}"/>
    <cellStyle name="Heading 3" xfId="29" builtinId="18" customBuiltin="1"/>
    <cellStyle name="Heading 3 2" xfId="92" xr:uid="{00000000-0005-0000-0000-000069000000}"/>
    <cellStyle name="Heading 3 3" xfId="187" xr:uid="{00000000-0005-0000-0000-00006A000000}"/>
    <cellStyle name="Heading 4" xfId="30" builtinId="19" customBuiltin="1"/>
    <cellStyle name="Heading 4 2" xfId="93" xr:uid="{00000000-0005-0000-0000-00006C000000}"/>
    <cellStyle name="Heading 4 3" xfId="188" xr:uid="{00000000-0005-0000-0000-00006D000000}"/>
    <cellStyle name="Hyperlink 2" xfId="44" xr:uid="{00000000-0005-0000-0000-00006E000000}"/>
    <cellStyle name="Hyperlink 2 2" xfId="94" xr:uid="{00000000-0005-0000-0000-00006F000000}"/>
    <cellStyle name="Hyperlink_Lisad 22.02.11 II" xfId="31" xr:uid="{00000000-0005-0000-0000-000070000000}"/>
    <cellStyle name="Input" xfId="32" builtinId="20" customBuiltin="1"/>
    <cellStyle name="Input 2" xfId="95" xr:uid="{00000000-0005-0000-0000-000072000000}"/>
    <cellStyle name="Input 3" xfId="189" xr:uid="{00000000-0005-0000-0000-000073000000}"/>
    <cellStyle name="Linked Cell" xfId="33" builtinId="24" customBuiltin="1"/>
    <cellStyle name="Linked Cell 2" xfId="96" xr:uid="{00000000-0005-0000-0000-000075000000}"/>
    <cellStyle name="Linked Cell 3" xfId="190" xr:uid="{00000000-0005-0000-0000-000076000000}"/>
    <cellStyle name="Neutral" xfId="34" builtinId="28" customBuiltin="1"/>
    <cellStyle name="Neutral 2" xfId="97" xr:uid="{00000000-0005-0000-0000-000078000000}"/>
    <cellStyle name="Neutral 3" xfId="191" xr:uid="{00000000-0005-0000-0000-000079000000}"/>
    <cellStyle name="Normaallaad 2" xfId="148" xr:uid="{00000000-0005-0000-0000-00007A000000}"/>
    <cellStyle name="Normaallaad 3" xfId="155" xr:uid="{00000000-0005-0000-0000-00007B000000}"/>
    <cellStyle name="Normaallaad 3 2" xfId="272" xr:uid="{00000000-0005-0000-0000-00007C000000}"/>
    <cellStyle name="Normal" xfId="0" builtinId="0"/>
    <cellStyle name="Normal 10" xfId="145" xr:uid="{00000000-0005-0000-0000-00007E000000}"/>
    <cellStyle name="Normal 10 2" xfId="228" xr:uid="{00000000-0005-0000-0000-00007F000000}"/>
    <cellStyle name="Normal 10 3" xfId="262" xr:uid="{00000000-0005-0000-0000-000080000000}"/>
    <cellStyle name="Normal 11" xfId="146" xr:uid="{00000000-0005-0000-0000-000081000000}"/>
    <cellStyle name="Normal 11 2" xfId="229" xr:uid="{00000000-0005-0000-0000-000082000000}"/>
    <cellStyle name="Normal 11 3" xfId="263" xr:uid="{00000000-0005-0000-0000-000083000000}"/>
    <cellStyle name="Normal 12" xfId="150" xr:uid="{00000000-0005-0000-0000-000084000000}"/>
    <cellStyle name="Normal 13" xfId="267" xr:uid="{00000000-0005-0000-0000-000085000000}"/>
    <cellStyle name="Normal 13 2" xfId="147" xr:uid="{00000000-0005-0000-0000-000086000000}"/>
    <cellStyle name="Normal 14 2" xfId="232" xr:uid="{00000000-0005-0000-0000-000087000000}"/>
    <cellStyle name="Normal 14 2 3" xfId="265" xr:uid="{00000000-0005-0000-0000-000088000000}"/>
    <cellStyle name="Normal 14 2 3 2" xfId="269" xr:uid="{00000000-0005-0000-0000-000089000000}"/>
    <cellStyle name="Normal 2" xfId="42" xr:uid="{00000000-0005-0000-0000-00008A000000}"/>
    <cellStyle name="Normal 2 2" xfId="48" xr:uid="{00000000-0005-0000-0000-00008B000000}"/>
    <cellStyle name="Normal 2 3" xfId="98" xr:uid="{00000000-0005-0000-0000-00008C000000}"/>
    <cellStyle name="Normal 2 3 2" xfId="99" xr:uid="{00000000-0005-0000-0000-00008D000000}"/>
    <cellStyle name="Normal 2 4" xfId="100" xr:uid="{00000000-0005-0000-0000-00008E000000}"/>
    <cellStyle name="Normal 2 4 2" xfId="101" xr:uid="{00000000-0005-0000-0000-00008F000000}"/>
    <cellStyle name="Normal 2 4 2 2" xfId="201" xr:uid="{00000000-0005-0000-0000-000090000000}"/>
    <cellStyle name="Normal 2 4 2 3" xfId="236" xr:uid="{00000000-0005-0000-0000-000091000000}"/>
    <cellStyle name="Normal 2 4 3" xfId="200" xr:uid="{00000000-0005-0000-0000-000092000000}"/>
    <cellStyle name="Normal 2 4 4" xfId="235" xr:uid="{00000000-0005-0000-0000-000093000000}"/>
    <cellStyle name="Normal 2 5" xfId="102" xr:uid="{00000000-0005-0000-0000-000094000000}"/>
    <cellStyle name="Normal 2 6" xfId="103" xr:uid="{00000000-0005-0000-0000-000095000000}"/>
    <cellStyle name="Normal 2 8" xfId="231" xr:uid="{00000000-0005-0000-0000-000096000000}"/>
    <cellStyle name="Normal 3" xfId="49" xr:uid="{00000000-0005-0000-0000-000097000000}"/>
    <cellStyle name="Normal 3 10" xfId="104" xr:uid="{00000000-0005-0000-0000-000098000000}"/>
    <cellStyle name="Normal 3 10 2" xfId="105" xr:uid="{00000000-0005-0000-0000-000099000000}"/>
    <cellStyle name="Normal 3 10 2 2" xfId="203" xr:uid="{00000000-0005-0000-0000-00009A000000}"/>
    <cellStyle name="Normal 3 10 2 3" xfId="238" xr:uid="{00000000-0005-0000-0000-00009B000000}"/>
    <cellStyle name="Normal 3 10 3" xfId="202" xr:uid="{00000000-0005-0000-0000-00009C000000}"/>
    <cellStyle name="Normal 3 10 4" xfId="237" xr:uid="{00000000-0005-0000-0000-00009D000000}"/>
    <cellStyle name="Normal 3 11" xfId="106" xr:uid="{00000000-0005-0000-0000-00009E000000}"/>
    <cellStyle name="Normal 3 11 2" xfId="107" xr:uid="{00000000-0005-0000-0000-00009F000000}"/>
    <cellStyle name="Normal 3 11 2 2" xfId="205" xr:uid="{00000000-0005-0000-0000-0000A0000000}"/>
    <cellStyle name="Normal 3 11 2 3" xfId="240" xr:uid="{00000000-0005-0000-0000-0000A1000000}"/>
    <cellStyle name="Normal 3 11 3" xfId="204" xr:uid="{00000000-0005-0000-0000-0000A2000000}"/>
    <cellStyle name="Normal 3 11 4" xfId="239" xr:uid="{00000000-0005-0000-0000-0000A3000000}"/>
    <cellStyle name="Normal 3 12" xfId="108" xr:uid="{00000000-0005-0000-0000-0000A4000000}"/>
    <cellStyle name="Normal 3 12 2" xfId="206" xr:uid="{00000000-0005-0000-0000-0000A5000000}"/>
    <cellStyle name="Normal 3 12 3" xfId="241" xr:uid="{00000000-0005-0000-0000-0000A6000000}"/>
    <cellStyle name="Normal 3 13" xfId="109" xr:uid="{00000000-0005-0000-0000-0000A7000000}"/>
    <cellStyle name="Normal 3 13 2" xfId="207" xr:uid="{00000000-0005-0000-0000-0000A8000000}"/>
    <cellStyle name="Normal 3 13 3" xfId="242" xr:uid="{00000000-0005-0000-0000-0000A9000000}"/>
    <cellStyle name="Normal 3 14" xfId="277" xr:uid="{492C5149-269C-48DE-BEA3-2C16772FFF3E}"/>
    <cellStyle name="Normal 3 14 2" xfId="279" xr:uid="{BCD24CF2-3BC2-415B-9088-E70EFCD4F1EE}"/>
    <cellStyle name="Normal 3 14 3" xfId="282" xr:uid="{B11CBCD2-2435-4E66-972E-167AC0D35F0D}"/>
    <cellStyle name="Normal 3 14 9" xfId="281" xr:uid="{A669B0C7-7F04-4BDA-A010-21E718ACA827}"/>
    <cellStyle name="Normal 3 15" xfId="278" xr:uid="{C68EB668-97F4-4205-816A-8793BB361EA2}"/>
    <cellStyle name="Normal 3 15 4" xfId="280" xr:uid="{9B7894EA-E67E-448F-9434-76C4F7DD1E62}"/>
    <cellStyle name="Normal 3 2" xfId="110" xr:uid="{00000000-0005-0000-0000-0000AA000000}"/>
    <cellStyle name="Normal 3 2 2" xfId="111" xr:uid="{00000000-0005-0000-0000-0000AB000000}"/>
    <cellStyle name="Normal 3 2 3" xfId="112" xr:uid="{00000000-0005-0000-0000-0000AC000000}"/>
    <cellStyle name="Normal 3 2 3 2" xfId="209" xr:uid="{00000000-0005-0000-0000-0000AD000000}"/>
    <cellStyle name="Normal 3 2 3 3" xfId="244" xr:uid="{00000000-0005-0000-0000-0000AE000000}"/>
    <cellStyle name="Normal 3 2 4" xfId="208" xr:uid="{00000000-0005-0000-0000-0000AF000000}"/>
    <cellStyle name="Normal 3 2 5" xfId="243" xr:uid="{00000000-0005-0000-0000-0000B0000000}"/>
    <cellStyle name="Normal 3 3" xfId="113" xr:uid="{00000000-0005-0000-0000-0000B1000000}"/>
    <cellStyle name="Normal 3 3 2" xfId="114" xr:uid="{00000000-0005-0000-0000-0000B2000000}"/>
    <cellStyle name="Normal 3 3 2 2" xfId="211" xr:uid="{00000000-0005-0000-0000-0000B3000000}"/>
    <cellStyle name="Normal 3 3 2 3" xfId="246" xr:uid="{00000000-0005-0000-0000-0000B4000000}"/>
    <cellStyle name="Normal 3 3 3" xfId="210" xr:uid="{00000000-0005-0000-0000-0000B5000000}"/>
    <cellStyle name="Normal 3 3 4" xfId="245" xr:uid="{00000000-0005-0000-0000-0000B6000000}"/>
    <cellStyle name="Normal 3 4" xfId="115" xr:uid="{00000000-0005-0000-0000-0000B7000000}"/>
    <cellStyle name="Normal 3 4 2" xfId="116" xr:uid="{00000000-0005-0000-0000-0000B8000000}"/>
    <cellStyle name="Normal 3 4 2 2" xfId="213" xr:uid="{00000000-0005-0000-0000-0000B9000000}"/>
    <cellStyle name="Normal 3 4 2 3" xfId="248" xr:uid="{00000000-0005-0000-0000-0000BA000000}"/>
    <cellStyle name="Normal 3 4 3" xfId="212" xr:uid="{00000000-0005-0000-0000-0000BB000000}"/>
    <cellStyle name="Normal 3 4 4" xfId="247" xr:uid="{00000000-0005-0000-0000-0000BC000000}"/>
    <cellStyle name="Normal 3 5" xfId="117" xr:uid="{00000000-0005-0000-0000-0000BD000000}"/>
    <cellStyle name="Normal 3 5 2" xfId="118" xr:uid="{00000000-0005-0000-0000-0000BE000000}"/>
    <cellStyle name="Normal 3 5 2 2" xfId="215" xr:uid="{00000000-0005-0000-0000-0000BF000000}"/>
    <cellStyle name="Normal 3 5 2 3" xfId="250" xr:uid="{00000000-0005-0000-0000-0000C0000000}"/>
    <cellStyle name="Normal 3 5 3" xfId="214" xr:uid="{00000000-0005-0000-0000-0000C1000000}"/>
    <cellStyle name="Normal 3 5 4" xfId="249" xr:uid="{00000000-0005-0000-0000-0000C2000000}"/>
    <cellStyle name="Normal 3 6" xfId="119" xr:uid="{00000000-0005-0000-0000-0000C3000000}"/>
    <cellStyle name="Normal 3 7" xfId="120" xr:uid="{00000000-0005-0000-0000-0000C4000000}"/>
    <cellStyle name="Normal 3 8" xfId="121" xr:uid="{00000000-0005-0000-0000-0000C5000000}"/>
    <cellStyle name="Normal 3 8 2" xfId="122" xr:uid="{00000000-0005-0000-0000-0000C6000000}"/>
    <cellStyle name="Normal 3 8 2 2" xfId="217" xr:uid="{00000000-0005-0000-0000-0000C7000000}"/>
    <cellStyle name="Normal 3 8 2 3" xfId="252" xr:uid="{00000000-0005-0000-0000-0000C8000000}"/>
    <cellStyle name="Normal 3 8 3" xfId="216" xr:uid="{00000000-0005-0000-0000-0000C9000000}"/>
    <cellStyle name="Normal 3 8 4" xfId="251" xr:uid="{00000000-0005-0000-0000-0000CA000000}"/>
    <cellStyle name="Normal 3 9" xfId="123" xr:uid="{00000000-0005-0000-0000-0000CB000000}"/>
    <cellStyle name="Normal 3 9 2" xfId="124" xr:uid="{00000000-0005-0000-0000-0000CC000000}"/>
    <cellStyle name="Normal 3 9 2 2" xfId="219" xr:uid="{00000000-0005-0000-0000-0000CD000000}"/>
    <cellStyle name="Normal 3 9 2 3" xfId="254" xr:uid="{00000000-0005-0000-0000-0000CE000000}"/>
    <cellStyle name="Normal 3 9 3" xfId="218" xr:uid="{00000000-0005-0000-0000-0000CF000000}"/>
    <cellStyle name="Normal 3 9 4" xfId="253" xr:uid="{00000000-0005-0000-0000-0000D0000000}"/>
    <cellStyle name="Normal 4" xfId="125" xr:uid="{00000000-0005-0000-0000-0000D1000000}"/>
    <cellStyle name="Normal 4 2" xfId="126" xr:uid="{00000000-0005-0000-0000-0000D2000000}"/>
    <cellStyle name="Normal 4 3" xfId="220" xr:uid="{00000000-0005-0000-0000-0000D3000000}"/>
    <cellStyle name="Normal 4 4" xfId="255" xr:uid="{00000000-0005-0000-0000-0000D4000000}"/>
    <cellStyle name="Normal 5" xfId="127" xr:uid="{00000000-0005-0000-0000-0000D5000000}"/>
    <cellStyle name="Normal 5 2" xfId="128" xr:uid="{00000000-0005-0000-0000-0000D6000000}"/>
    <cellStyle name="Normal 5 2 2" xfId="129" xr:uid="{00000000-0005-0000-0000-0000D7000000}"/>
    <cellStyle name="Normal 5 2 2 2" xfId="223" xr:uid="{00000000-0005-0000-0000-0000D8000000}"/>
    <cellStyle name="Normal 5 2 2 3" xfId="258" xr:uid="{00000000-0005-0000-0000-0000D9000000}"/>
    <cellStyle name="Normal 5 2 3" xfId="222" xr:uid="{00000000-0005-0000-0000-0000DA000000}"/>
    <cellStyle name="Normal 5 2 4" xfId="257" xr:uid="{00000000-0005-0000-0000-0000DB000000}"/>
    <cellStyle name="Normal 5 3" xfId="130" xr:uid="{00000000-0005-0000-0000-0000DC000000}"/>
    <cellStyle name="Normal 5 3 2" xfId="224" xr:uid="{00000000-0005-0000-0000-0000DD000000}"/>
    <cellStyle name="Normal 5 3 3" xfId="259" xr:uid="{00000000-0005-0000-0000-0000DE000000}"/>
    <cellStyle name="Normal 5 4" xfId="221" xr:uid="{00000000-0005-0000-0000-0000DF000000}"/>
    <cellStyle name="Normal 5 5" xfId="256" xr:uid="{00000000-0005-0000-0000-0000E0000000}"/>
    <cellStyle name="Normal 6" xfId="131" xr:uid="{00000000-0005-0000-0000-0000E1000000}"/>
    <cellStyle name="Normal 7" xfId="132" xr:uid="{00000000-0005-0000-0000-0000E2000000}"/>
    <cellStyle name="Normal 7 2" xfId="133" xr:uid="{00000000-0005-0000-0000-0000E3000000}"/>
    <cellStyle name="Normal 7 2 2" xfId="226" xr:uid="{00000000-0005-0000-0000-0000E4000000}"/>
    <cellStyle name="Normal 7 2 3" xfId="261" xr:uid="{00000000-0005-0000-0000-0000E5000000}"/>
    <cellStyle name="Normal 7 3" xfId="225" xr:uid="{00000000-0005-0000-0000-0000E6000000}"/>
    <cellStyle name="Normal 7 4" xfId="260" xr:uid="{00000000-0005-0000-0000-0000E7000000}"/>
    <cellStyle name="Normal 8" xfId="134" xr:uid="{00000000-0005-0000-0000-0000E8000000}"/>
    <cellStyle name="Normal 8 2" xfId="227" xr:uid="{00000000-0005-0000-0000-0000E9000000}"/>
    <cellStyle name="Normal 8 3" xfId="273" xr:uid="{00000000-0005-0000-0000-0000EA000000}"/>
    <cellStyle name="Normal 8 6" xfId="151" xr:uid="{00000000-0005-0000-0000-0000EB000000}"/>
    <cellStyle name="Normal 8 6 2" xfId="153" xr:uid="{00000000-0005-0000-0000-0000EC000000}"/>
    <cellStyle name="Normal 8 6 2 2 2" xfId="234" xr:uid="{00000000-0005-0000-0000-0000ED000000}"/>
    <cellStyle name="Normal 8 6 2 2 2 3" xfId="266" xr:uid="{00000000-0005-0000-0000-0000EE000000}"/>
    <cellStyle name="Normal 8 6 2 2 4" xfId="154" xr:uid="{00000000-0005-0000-0000-0000EF000000}"/>
    <cellStyle name="Normal 8 6 3" xfId="233" xr:uid="{00000000-0005-0000-0000-0000F0000000}"/>
    <cellStyle name="Normal 8 6 3 3" xfId="264" xr:uid="{00000000-0005-0000-0000-0000F1000000}"/>
    <cellStyle name="Normal 8 6 3 3 2" xfId="268" xr:uid="{00000000-0005-0000-0000-0000F2000000}"/>
    <cellStyle name="Normal 8 7" xfId="152" xr:uid="{00000000-0005-0000-0000-0000F3000000}"/>
    <cellStyle name="Normal 9" xfId="135" xr:uid="{00000000-0005-0000-0000-0000F4000000}"/>
    <cellStyle name="Normal_2002 määrus lisa 5 2" xfId="270" xr:uid="{00000000-0005-0000-0000-0000F6000000}"/>
    <cellStyle name="Normal_2002 määrus lisa 5_Lisad 22.02.11 II" xfId="35" xr:uid="{00000000-0005-0000-0000-0000F7000000}"/>
    <cellStyle name="Normal_eelarve muutmise vorm" xfId="275" xr:uid="{00000000-0005-0000-0000-0000F8000000}"/>
    <cellStyle name="Normal_eelarve muutmise vorm 2 2" xfId="276" xr:uid="{00000000-0005-0000-0000-0000F9000000}"/>
    <cellStyle name="Normal_vorm 1 koond" xfId="271" xr:uid="{00000000-0005-0000-0000-0000FA000000}"/>
    <cellStyle name="Normal_vorm 1 koond_Lisad 22.02.11 II" xfId="36" xr:uid="{00000000-0005-0000-0000-0000FB000000}"/>
    <cellStyle name="Note" xfId="37" builtinId="10" customBuiltin="1"/>
    <cellStyle name="Note 2" xfId="136" xr:uid="{00000000-0005-0000-0000-0000FD000000}"/>
    <cellStyle name="Note 3" xfId="144" xr:uid="{00000000-0005-0000-0000-0000FE000000}"/>
    <cellStyle name="Note 4" xfId="50" xr:uid="{00000000-0005-0000-0000-0000FF000000}"/>
    <cellStyle name="Note 5" xfId="192" xr:uid="{00000000-0005-0000-0000-000000010000}"/>
    <cellStyle name="Output" xfId="38" builtinId="21" customBuiltin="1"/>
    <cellStyle name="Output 2" xfId="137" xr:uid="{00000000-0005-0000-0000-000002010000}"/>
    <cellStyle name="Output 3" xfId="193" xr:uid="{00000000-0005-0000-0000-000003010000}"/>
    <cellStyle name="Percent" xfId="149" builtinId="5"/>
    <cellStyle name="Percent 2" xfId="45" xr:uid="{00000000-0005-0000-0000-000005010000}"/>
    <cellStyle name="Percent 3" xfId="138" xr:uid="{00000000-0005-0000-0000-000006010000}"/>
    <cellStyle name="Percent 4" xfId="230" xr:uid="{00000000-0005-0000-0000-000007010000}"/>
    <cellStyle name="Rõhk5 2" xfId="139" xr:uid="{00000000-0005-0000-0000-000008010000}"/>
    <cellStyle name="Rõhk5 3" xfId="198" xr:uid="{00000000-0005-0000-0000-000009010000}"/>
    <cellStyle name="Rõhk6 2" xfId="140" xr:uid="{00000000-0005-0000-0000-00000A010000}"/>
    <cellStyle name="Rõhk6 3" xfId="199" xr:uid="{00000000-0005-0000-0000-00000B010000}"/>
    <cellStyle name="Title" xfId="39" builtinId="15" customBuiltin="1"/>
    <cellStyle name="Title 2" xfId="141" xr:uid="{00000000-0005-0000-0000-00000D010000}"/>
    <cellStyle name="Title 3" xfId="194" xr:uid="{00000000-0005-0000-0000-00000E010000}"/>
    <cellStyle name="Total" xfId="40" builtinId="25" customBuiltin="1"/>
    <cellStyle name="Total 2" xfId="142" xr:uid="{00000000-0005-0000-0000-000010010000}"/>
    <cellStyle name="Total 3" xfId="195" xr:uid="{00000000-0005-0000-0000-000011010000}"/>
    <cellStyle name="Tulemus" xfId="274" xr:uid="{00000000-0005-0000-0000-000012010000}"/>
    <cellStyle name="Warning Text" xfId="41" builtinId="11" customBuiltin="1"/>
    <cellStyle name="Warning Text 2" xfId="143" xr:uid="{00000000-0005-0000-0000-000014010000}"/>
    <cellStyle name="Warning Text 3" xfId="196" xr:uid="{00000000-0005-0000-0000-00001501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25</xdr:row>
      <xdr:rowOff>9525</xdr:rowOff>
    </xdr:from>
    <xdr:to>
      <xdr:col>15</xdr:col>
      <xdr:colOff>400050</xdr:colOff>
      <xdr:row>31</xdr:row>
      <xdr:rowOff>104775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6543675"/>
          <a:ext cx="9086850" cy="1066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Märkused:</a:t>
          </a:r>
          <a:endParaRPr lang="et-EE" sz="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*  sh linnaeelarve, riigieelarve vahendid, välisrahastus, muu (teise 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kohaliku omavalitsusüksuse eelarve vahendid, eraõigusliku juriidilise isiku finantseerimine (sh äriettevõte, mittetulunduslik organisatsioon vm)).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** näidatakse kõigi finantseerimisallikate lõikes</a:t>
          </a:r>
        </a:p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Selgitused:</a:t>
          </a: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Tabelis kajastatakse välisprojektid ja programmid, milles linn osaleb.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Vahendite kajastamisel aastate lõikes näidatakse planeeritavad kulud.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tsteenistus/EELARVE%20OSAKOND/2011/2011%20EELARVE%20T&#196;ITMINE%20-%20VALGE%20RAAMAT/Koond%2026.04.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llinnlv.ee\data\Users\hirve\Documents\Ametikohtade%20hindamine\Copy%20of%20Koopia%20failist%20Tallinna%20Linnakantselei%20at%20palgatabel_2014_10.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tsteenistus/EELARVE%20OSAKOND/2022/T&#228;psustatud%20eelarve/Koond%2001.06.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tsteenistus/EELARVE%20OSAKOND/2023/Piirsummad/Piirsumma%20koond%2030.05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UKORD"/>
      <sheetName val="1 KOONDEELARVE"/>
      <sheetName val="2 KOONDEA TÄITMINE"/>
      <sheetName val="3 TULUDE KOOND"/>
      <sheetName val="4 LK TULUD"/>
      <sheetName val="5 RR - OTSTARVE"/>
      <sheetName val="6 TOETUSED"/>
      <sheetName val="Sheet1"/>
      <sheetName val="7 OMATULUD"/>
      <sheetName val="8 KULUD"/>
      <sheetName val="9 INVEST"/>
      <sheetName val="10 FIN.TEH"/>
      <sheetName val="11 EESMÄRGID"/>
      <sheetName val="Probleemid"/>
      <sheetName val="Taotlused"/>
      <sheetName val="1_KOONDEELARVE"/>
      <sheetName val="2_KOONDEA_TÄITMINE"/>
      <sheetName val="3_TULUDE_KOOND"/>
      <sheetName val="4_LK_TULUD"/>
      <sheetName val="5_RR_-_OTSTARVE"/>
      <sheetName val="6_TOETUSED"/>
      <sheetName val="7_OMATULUD"/>
      <sheetName val="8_KULUD"/>
      <sheetName val="9_INVEST"/>
      <sheetName val="10_FIN_TEH"/>
      <sheetName val="11_EESMÄRGID"/>
      <sheetName val="1_KOONDEELARVE4"/>
      <sheetName val="2_KOONDEA_TÄITMINE4"/>
      <sheetName val="3_TULUDE_KOOND4"/>
      <sheetName val="4_LK_TULUD4"/>
      <sheetName val="5_RR_-_OTSTARVE4"/>
      <sheetName val="6_TOETUSED4"/>
      <sheetName val="7_OMATULUD4"/>
      <sheetName val="8_KULUD4"/>
      <sheetName val="9_INVEST4"/>
      <sheetName val="10_FIN_TEH4"/>
      <sheetName val="11_EESMÄRGID4"/>
      <sheetName val="1_KOONDEELARVE2"/>
      <sheetName val="2_KOONDEA_TÄITMINE2"/>
      <sheetName val="3_TULUDE_KOOND2"/>
      <sheetName val="4_LK_TULUD2"/>
      <sheetName val="5_RR_-_OTSTARVE2"/>
      <sheetName val="6_TOETUSED2"/>
      <sheetName val="7_OMATULUD2"/>
      <sheetName val="8_KULUD2"/>
      <sheetName val="9_INVEST2"/>
      <sheetName val="10_FIN_TEH2"/>
      <sheetName val="11_EESMÄRGID2"/>
      <sheetName val="1_KOONDEELARVE1"/>
      <sheetName val="2_KOONDEA_TÄITMINE1"/>
      <sheetName val="3_TULUDE_KOOND1"/>
      <sheetName val="4_LK_TULUD1"/>
      <sheetName val="5_RR_-_OTSTARVE1"/>
      <sheetName val="6_TOETUSED1"/>
      <sheetName val="7_OMATULUD1"/>
      <sheetName val="8_KULUD1"/>
      <sheetName val="9_INVEST1"/>
      <sheetName val="10_FIN_TEH1"/>
      <sheetName val="11_EESMÄRGID1"/>
      <sheetName val="1_KOONDEELARVE3"/>
      <sheetName val="2_KOONDEA_TÄITMINE3"/>
      <sheetName val="3_TULUDE_KOOND3"/>
      <sheetName val="4_LK_TULUD3"/>
      <sheetName val="5_RR_-_OTSTARVE3"/>
      <sheetName val="6_TOETUSED3"/>
      <sheetName val="7_OMATULUD3"/>
      <sheetName val="8_KULUD3"/>
      <sheetName val="9_INVEST3"/>
      <sheetName val="10_FIN_TEH3"/>
      <sheetName val="11_EESMÄRGID3"/>
      <sheetName val="1_KOONDEELARVE5"/>
      <sheetName val="2_KOONDEA_TÄITMINE5"/>
      <sheetName val="3_TULUDE_KOOND5"/>
      <sheetName val="4_LK_TULUD5"/>
      <sheetName val="5_RR_-_OTSTARVE5"/>
      <sheetName val="6_TOETUSED5"/>
      <sheetName val="7_OMATULUD5"/>
      <sheetName val="8_KULUD5"/>
      <sheetName val="9_INVEST5"/>
      <sheetName val="10_FIN_TEH5"/>
      <sheetName val="11_EESMÄRGID5"/>
      <sheetName val="1_KOONDEELARVE6"/>
      <sheetName val="2_KOONDEA_TÄITMINE6"/>
      <sheetName val="3_TULUDE_KOOND6"/>
      <sheetName val="4_LK_TULUD6"/>
      <sheetName val="5_RR_-_OTSTARVE6"/>
      <sheetName val="6_TOETUSED6"/>
      <sheetName val="7_OMATULUD6"/>
      <sheetName val="8_KULUD6"/>
      <sheetName val="9_INVEST6"/>
      <sheetName val="10_FIN_TEH6"/>
      <sheetName val="11_EESMÄRGID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hend"/>
      <sheetName val="Andmed"/>
      <sheetName val="põhipalk"/>
      <sheetName val="tulemustasu2"/>
      <sheetName val="tulemustasu"/>
      <sheetName val="öötöö, riigipühad"/>
      <sheetName val="muutuvad tasud"/>
      <sheetName val="mobiiltelefon"/>
      <sheetName val="Sheet1"/>
      <sheetName val="Maakonnad"/>
      <sheetName val="Job Families"/>
      <sheetName val="Job Names"/>
      <sheetName val="Sheet2"/>
      <sheetName val="Ametiasutused põhitasud 2015"/>
      <sheetName val="8 KULUD"/>
      <sheetName val="öötöö,_riigipühad"/>
      <sheetName val="muutuvad_tasud"/>
      <sheetName val="Job_Families"/>
      <sheetName val="Job_Names"/>
      <sheetName val="Ametiasutused_põhitasud_2015"/>
      <sheetName val="8_KULUD"/>
      <sheetName val="öötöö,_riigipühad1"/>
      <sheetName val="muutuvad_tasud1"/>
      <sheetName val="Job_Families1"/>
      <sheetName val="Job_Names1"/>
      <sheetName val="Ametiasutused_põhitasud_20151"/>
      <sheetName val="8_KULUD1"/>
      <sheetName val="öötöö,_riigipühad2"/>
      <sheetName val="muutuvad_tasud2"/>
      <sheetName val="Job_Families2"/>
      <sheetName val="Job_Names2"/>
      <sheetName val="Ametiasutused_põhitasud_20152"/>
      <sheetName val="8_KULUD2"/>
      <sheetName val="öötöö,_riigipühad5"/>
      <sheetName val="muutuvad_tasud5"/>
      <sheetName val="Job_Families5"/>
      <sheetName val="Job_Names5"/>
      <sheetName val="Ametiasutused_põhitasud_20155"/>
      <sheetName val="8_KULUD5"/>
      <sheetName val="öötöö,_riigipühad3"/>
      <sheetName val="muutuvad_tasud3"/>
      <sheetName val="Job_Families3"/>
      <sheetName val="Job_Names3"/>
      <sheetName val="Ametiasutused_põhitasud_20153"/>
      <sheetName val="8_KULUD3"/>
      <sheetName val="öötöö,_riigipühad4"/>
      <sheetName val="muutuvad_tasud4"/>
      <sheetName val="Job_Families4"/>
      <sheetName val="Job_Names4"/>
      <sheetName val="Ametiasutused_põhitasud_20154"/>
      <sheetName val="8_KULUD4"/>
      <sheetName val="öötöö,_riigipühad6"/>
      <sheetName val="muutuvad_tasud6"/>
      <sheetName val="Job_Families6"/>
      <sheetName val="Job_Names6"/>
      <sheetName val="Ametiasutused_põhitasud_20156"/>
      <sheetName val="8_KULUD6"/>
      <sheetName val="öötöö,_riigipühad7"/>
      <sheetName val="muutuvad_tasud7"/>
      <sheetName val="Job_Families7"/>
      <sheetName val="Job_Names7"/>
      <sheetName val="Ametiasutused_põhitasud_20157"/>
      <sheetName val="8_KULUD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Harjumaa</v>
          </cell>
        </row>
        <row r="2">
          <cell r="A2" t="str">
            <v>Hiiumaa</v>
          </cell>
        </row>
        <row r="3">
          <cell r="A3" t="str">
            <v>Ida-Virumaa</v>
          </cell>
        </row>
        <row r="4">
          <cell r="A4" t="str">
            <v>Jõgevamaa</v>
          </cell>
        </row>
        <row r="5">
          <cell r="A5" t="str">
            <v>Järvamaa</v>
          </cell>
        </row>
        <row r="6">
          <cell r="A6" t="str">
            <v>Läänemaa</v>
          </cell>
        </row>
        <row r="7">
          <cell r="A7" t="str">
            <v>Lääne-Virumaa</v>
          </cell>
        </row>
        <row r="8">
          <cell r="A8" t="str">
            <v>Põlvamaa</v>
          </cell>
        </row>
        <row r="9">
          <cell r="A9" t="str">
            <v>Pärnumaa</v>
          </cell>
        </row>
        <row r="10">
          <cell r="A10" t="str">
            <v>Raplamaa</v>
          </cell>
        </row>
        <row r="11">
          <cell r="A11" t="str">
            <v>Saaremaa</v>
          </cell>
        </row>
        <row r="12">
          <cell r="A12" t="str">
            <v>Tartumaa</v>
          </cell>
        </row>
        <row r="13">
          <cell r="A13" t="str">
            <v>Valgamaa</v>
          </cell>
        </row>
        <row r="14">
          <cell r="A14" t="str">
            <v>Viljandimaa</v>
          </cell>
        </row>
        <row r="15">
          <cell r="A15" t="str">
            <v>Võrumaa</v>
          </cell>
        </row>
      </sheetData>
      <sheetData sheetId="10">
        <row r="2">
          <cell r="D2" t="str">
            <v>Actual Job Family</v>
          </cell>
          <cell r="E2" t="str">
            <v>Level</v>
          </cell>
          <cell r="F2" t="str">
            <v>Points</v>
          </cell>
          <cell r="G2" t="str">
            <v>min</v>
          </cell>
          <cell r="H2" t="str">
            <v>max</v>
          </cell>
        </row>
        <row r="3">
          <cell r="D3" t="str">
            <v>AT - (Sise)auditeerimine</v>
          </cell>
          <cell r="E3">
            <v>1</v>
          </cell>
          <cell r="F3">
            <v>184</v>
          </cell>
          <cell r="G3">
            <v>172</v>
          </cell>
          <cell r="H3">
            <v>197</v>
          </cell>
        </row>
        <row r="4">
          <cell r="D4" t="str">
            <v>AT - (Sise)auditeerimine</v>
          </cell>
          <cell r="E4">
            <v>2</v>
          </cell>
          <cell r="F4">
            <v>281</v>
          </cell>
          <cell r="G4">
            <v>262</v>
          </cell>
          <cell r="H4">
            <v>300</v>
          </cell>
        </row>
        <row r="5">
          <cell r="D5" t="str">
            <v>AT - (Sise)auditeerimine</v>
          </cell>
          <cell r="E5" t="str">
            <v>3A</v>
          </cell>
          <cell r="F5">
            <v>371</v>
          </cell>
          <cell r="G5">
            <v>346</v>
          </cell>
          <cell r="H5">
            <v>397</v>
          </cell>
        </row>
        <row r="6">
          <cell r="D6" t="str">
            <v>AT - (Sise)auditeerimine</v>
          </cell>
          <cell r="E6" t="str">
            <v>3B</v>
          </cell>
          <cell r="F6">
            <v>371</v>
          </cell>
          <cell r="G6">
            <v>346</v>
          </cell>
          <cell r="H6">
            <v>397</v>
          </cell>
        </row>
        <row r="7">
          <cell r="D7" t="str">
            <v>AT - (Sise)auditeerimine</v>
          </cell>
          <cell r="E7">
            <v>4</v>
          </cell>
          <cell r="F7">
            <v>492</v>
          </cell>
          <cell r="G7">
            <v>458</v>
          </cell>
          <cell r="H7">
            <v>526</v>
          </cell>
        </row>
        <row r="8">
          <cell r="D8" t="str">
            <v>AT - Andmeait</v>
          </cell>
          <cell r="E8">
            <v>1</v>
          </cell>
          <cell r="F8">
            <v>160</v>
          </cell>
          <cell r="G8">
            <v>150</v>
          </cell>
          <cell r="H8">
            <v>149</v>
          </cell>
        </row>
        <row r="9">
          <cell r="D9" t="str">
            <v>AT - Andmeait</v>
          </cell>
          <cell r="E9">
            <v>2</v>
          </cell>
          <cell r="F9">
            <v>244</v>
          </cell>
          <cell r="G9">
            <v>228</v>
          </cell>
          <cell r="H9">
            <v>261</v>
          </cell>
        </row>
        <row r="10">
          <cell r="D10" t="str">
            <v>AT - Andmeait</v>
          </cell>
          <cell r="E10">
            <v>3</v>
          </cell>
          <cell r="F10">
            <v>323</v>
          </cell>
          <cell r="G10">
            <v>301</v>
          </cell>
          <cell r="H10">
            <v>345</v>
          </cell>
        </row>
        <row r="11">
          <cell r="D11" t="str">
            <v>AT - Andmeait</v>
          </cell>
          <cell r="E11">
            <v>4</v>
          </cell>
          <cell r="F11">
            <v>427</v>
          </cell>
          <cell r="G11">
            <v>398</v>
          </cell>
          <cell r="H11">
            <v>457</v>
          </cell>
        </row>
        <row r="12">
          <cell r="D12" t="str">
            <v>AT - Andmeanalüüs ja -seire</v>
          </cell>
          <cell r="E12">
            <v>1</v>
          </cell>
          <cell r="F12">
            <v>121</v>
          </cell>
          <cell r="G12">
            <v>113</v>
          </cell>
          <cell r="H12">
            <v>129</v>
          </cell>
        </row>
        <row r="13">
          <cell r="D13" t="str">
            <v>AT - Andmeanalüüs ja -seire</v>
          </cell>
          <cell r="E13">
            <v>2</v>
          </cell>
          <cell r="F13">
            <v>212</v>
          </cell>
          <cell r="G13">
            <v>198</v>
          </cell>
          <cell r="H13">
            <v>227</v>
          </cell>
        </row>
        <row r="14">
          <cell r="D14" t="str">
            <v>AT - Andmeanalüüs ja -seire</v>
          </cell>
          <cell r="E14">
            <v>3</v>
          </cell>
          <cell r="F14">
            <v>281</v>
          </cell>
          <cell r="G14">
            <v>262</v>
          </cell>
          <cell r="H14">
            <v>300</v>
          </cell>
        </row>
        <row r="15">
          <cell r="D15" t="str">
            <v>AT - Andmeanalüüs ja -seire</v>
          </cell>
          <cell r="E15" t="str">
            <v>4A</v>
          </cell>
          <cell r="F15">
            <v>323</v>
          </cell>
          <cell r="G15">
            <v>301</v>
          </cell>
          <cell r="H15">
            <v>345</v>
          </cell>
        </row>
        <row r="16">
          <cell r="D16" t="str">
            <v>AT - Andmeanalüüs ja -seire</v>
          </cell>
          <cell r="E16" t="str">
            <v>4B</v>
          </cell>
          <cell r="F16">
            <v>427</v>
          </cell>
          <cell r="G16">
            <v>398</v>
          </cell>
          <cell r="H16">
            <v>457</v>
          </cell>
        </row>
        <row r="17">
          <cell r="D17" t="str">
            <v>AT - Andmeanalüüs ja -seire</v>
          </cell>
          <cell r="E17" t="str">
            <v>5A</v>
          </cell>
          <cell r="F17">
            <v>427</v>
          </cell>
          <cell r="G17">
            <v>398</v>
          </cell>
          <cell r="H17">
            <v>457</v>
          </cell>
        </row>
        <row r="18">
          <cell r="D18" t="str">
            <v>AT - Andmeanalüüs ja -seire</v>
          </cell>
          <cell r="E18" t="str">
            <v>5B</v>
          </cell>
          <cell r="F18">
            <v>492</v>
          </cell>
          <cell r="G18">
            <v>458</v>
          </cell>
          <cell r="H18">
            <v>526</v>
          </cell>
        </row>
        <row r="19">
          <cell r="D19" t="str">
            <v>AT - Arengu ja poliitika kujundamine</v>
          </cell>
          <cell r="E19">
            <v>1</v>
          </cell>
          <cell r="F19">
            <v>184</v>
          </cell>
          <cell r="G19">
            <v>172</v>
          </cell>
          <cell r="H19">
            <v>197</v>
          </cell>
        </row>
        <row r="20">
          <cell r="D20" t="str">
            <v>AT - Arengu ja poliitika kujundamine</v>
          </cell>
          <cell r="E20">
            <v>2</v>
          </cell>
          <cell r="F20">
            <v>244</v>
          </cell>
          <cell r="G20">
            <v>228</v>
          </cell>
          <cell r="H20">
            <v>261</v>
          </cell>
        </row>
        <row r="21">
          <cell r="D21" t="str">
            <v>AT - Arengu ja poliitika kujundamine</v>
          </cell>
          <cell r="E21">
            <v>3</v>
          </cell>
          <cell r="F21">
            <v>323</v>
          </cell>
          <cell r="G21">
            <v>301</v>
          </cell>
          <cell r="H21">
            <v>345</v>
          </cell>
        </row>
        <row r="22">
          <cell r="D22" t="str">
            <v>AT - Arengu ja poliitika kujundamine</v>
          </cell>
          <cell r="E22">
            <v>4</v>
          </cell>
          <cell r="F22">
            <v>427</v>
          </cell>
          <cell r="G22">
            <v>398</v>
          </cell>
          <cell r="H22">
            <v>457</v>
          </cell>
        </row>
        <row r="23">
          <cell r="D23" t="str">
            <v>AT - Arengu ja poliitika kujundamine</v>
          </cell>
          <cell r="E23">
            <v>5</v>
          </cell>
          <cell r="F23">
            <v>492</v>
          </cell>
          <cell r="G23">
            <v>458</v>
          </cell>
          <cell r="H23">
            <v>526</v>
          </cell>
        </row>
        <row r="24">
          <cell r="D24" t="str">
            <v>AT - Arengu ja poliitika kujundamine</v>
          </cell>
          <cell r="E24">
            <v>6</v>
          </cell>
          <cell r="F24">
            <v>651</v>
          </cell>
          <cell r="G24">
            <v>606</v>
          </cell>
          <cell r="H24">
            <v>696</v>
          </cell>
        </row>
        <row r="25">
          <cell r="D25" t="str">
            <v>AT - Arhiivindus</v>
          </cell>
          <cell r="E25" t="str">
            <v>1B</v>
          </cell>
          <cell r="F25">
            <v>139</v>
          </cell>
          <cell r="G25">
            <v>130</v>
          </cell>
          <cell r="H25">
            <v>149</v>
          </cell>
        </row>
        <row r="26">
          <cell r="D26" t="str">
            <v>AT - Arhiivindus</v>
          </cell>
          <cell r="E26" t="str">
            <v>1A</v>
          </cell>
          <cell r="F26">
            <v>160</v>
          </cell>
          <cell r="G26">
            <v>150</v>
          </cell>
          <cell r="H26">
            <v>171</v>
          </cell>
        </row>
        <row r="27">
          <cell r="D27" t="str">
            <v>AT - Arhiivindus</v>
          </cell>
          <cell r="E27" t="str">
            <v>2B</v>
          </cell>
          <cell r="F27">
            <v>184</v>
          </cell>
          <cell r="G27">
            <v>172</v>
          </cell>
          <cell r="H27">
            <v>197</v>
          </cell>
        </row>
        <row r="28">
          <cell r="D28" t="str">
            <v>AT - Arhiivindus</v>
          </cell>
          <cell r="E28" t="str">
            <v>2A</v>
          </cell>
          <cell r="F28">
            <v>212</v>
          </cell>
          <cell r="G28">
            <v>198</v>
          </cell>
          <cell r="H28">
            <v>227</v>
          </cell>
        </row>
        <row r="29">
          <cell r="D29" t="str">
            <v>AT - Arhiivindus</v>
          </cell>
          <cell r="E29" t="str">
            <v>3A</v>
          </cell>
          <cell r="F29">
            <v>281</v>
          </cell>
          <cell r="G29">
            <v>262</v>
          </cell>
          <cell r="H29">
            <v>300</v>
          </cell>
        </row>
        <row r="30">
          <cell r="D30" t="str">
            <v>AT - Arhiivindus</v>
          </cell>
          <cell r="E30" t="str">
            <v>3B</v>
          </cell>
          <cell r="F30">
            <v>281</v>
          </cell>
          <cell r="G30">
            <v>262</v>
          </cell>
          <cell r="H30">
            <v>300</v>
          </cell>
        </row>
        <row r="31">
          <cell r="D31" t="str">
            <v>AT - Arhiivindus</v>
          </cell>
          <cell r="E31">
            <v>4</v>
          </cell>
          <cell r="F31">
            <v>427</v>
          </cell>
          <cell r="G31">
            <v>398</v>
          </cell>
          <cell r="H31">
            <v>457</v>
          </cell>
        </row>
        <row r="32">
          <cell r="D32" t="str">
            <v>AT - Ekspertiis</v>
          </cell>
          <cell r="E32">
            <v>1</v>
          </cell>
          <cell r="F32">
            <v>160</v>
          </cell>
          <cell r="G32">
            <v>150</v>
          </cell>
          <cell r="H32">
            <v>171</v>
          </cell>
        </row>
        <row r="33">
          <cell r="D33" t="str">
            <v>AT - Ekspertiis</v>
          </cell>
          <cell r="E33">
            <v>2</v>
          </cell>
          <cell r="F33">
            <v>212</v>
          </cell>
          <cell r="G33">
            <v>198</v>
          </cell>
          <cell r="H33">
            <v>227</v>
          </cell>
        </row>
        <row r="34">
          <cell r="D34" t="str">
            <v>AT - Ekspertiis</v>
          </cell>
          <cell r="E34">
            <v>3</v>
          </cell>
          <cell r="F34">
            <v>281</v>
          </cell>
          <cell r="G34">
            <v>262</v>
          </cell>
          <cell r="H34">
            <v>300</v>
          </cell>
        </row>
        <row r="35">
          <cell r="D35" t="str">
            <v>AT - Ekspertiis</v>
          </cell>
          <cell r="E35">
            <v>4</v>
          </cell>
          <cell r="F35">
            <v>323</v>
          </cell>
          <cell r="G35">
            <v>301</v>
          </cell>
          <cell r="H35">
            <v>345</v>
          </cell>
        </row>
        <row r="36">
          <cell r="D36" t="str">
            <v>AT - Ekspertiis</v>
          </cell>
          <cell r="E36">
            <v>5</v>
          </cell>
          <cell r="F36">
            <v>427</v>
          </cell>
          <cell r="G36">
            <v>398</v>
          </cell>
          <cell r="H36">
            <v>457</v>
          </cell>
        </row>
        <row r="37">
          <cell r="D37" t="str">
            <v>AT - Finantsanalüüs, -planeerimine ja -juhtimine</v>
          </cell>
          <cell r="E37">
            <v>1</v>
          </cell>
          <cell r="F37">
            <v>160</v>
          </cell>
          <cell r="G37">
            <v>150</v>
          </cell>
          <cell r="H37">
            <v>171</v>
          </cell>
        </row>
        <row r="38">
          <cell r="D38" t="str">
            <v>AT - Finantsanalüüs, -planeerimine ja -juhtimine</v>
          </cell>
          <cell r="E38">
            <v>2</v>
          </cell>
          <cell r="F38">
            <v>184</v>
          </cell>
          <cell r="G38">
            <v>172</v>
          </cell>
          <cell r="H38">
            <v>197</v>
          </cell>
        </row>
        <row r="39">
          <cell r="D39" t="str">
            <v>AT - Finantsanalüüs, -planeerimine ja -juhtimine</v>
          </cell>
          <cell r="E39">
            <v>3</v>
          </cell>
          <cell r="F39">
            <v>281</v>
          </cell>
          <cell r="G39">
            <v>262</v>
          </cell>
          <cell r="H39">
            <v>300</v>
          </cell>
        </row>
        <row r="40">
          <cell r="D40" t="str">
            <v>AT - Finantsanalüüs, -planeerimine ja -juhtimine</v>
          </cell>
          <cell r="E40">
            <v>4</v>
          </cell>
          <cell r="F40">
            <v>427</v>
          </cell>
          <cell r="G40">
            <v>398</v>
          </cell>
          <cell r="H40">
            <v>457</v>
          </cell>
        </row>
        <row r="41">
          <cell r="D41" t="str">
            <v>AT - Finantsanalüüs, -planeerimine ja -juhtimine</v>
          </cell>
          <cell r="E41">
            <v>5</v>
          </cell>
          <cell r="F41">
            <v>492</v>
          </cell>
          <cell r="G41">
            <v>458</v>
          </cell>
          <cell r="H41">
            <v>526</v>
          </cell>
        </row>
        <row r="42">
          <cell r="D42" t="str">
            <v>AT - Geomaatika</v>
          </cell>
          <cell r="E42">
            <v>1</v>
          </cell>
          <cell r="F42">
            <v>160</v>
          </cell>
          <cell r="G42">
            <v>150</v>
          </cell>
          <cell r="H42">
            <v>171</v>
          </cell>
        </row>
        <row r="43">
          <cell r="D43" t="str">
            <v>AT - Geomaatika</v>
          </cell>
          <cell r="E43">
            <v>2</v>
          </cell>
          <cell r="F43">
            <v>212</v>
          </cell>
          <cell r="G43">
            <v>198</v>
          </cell>
          <cell r="H43">
            <v>227</v>
          </cell>
        </row>
        <row r="44">
          <cell r="D44" t="str">
            <v>AT - Geomaatika</v>
          </cell>
          <cell r="E44">
            <v>3</v>
          </cell>
          <cell r="F44">
            <v>244</v>
          </cell>
          <cell r="G44">
            <v>228</v>
          </cell>
          <cell r="H44">
            <v>261</v>
          </cell>
        </row>
        <row r="45">
          <cell r="D45" t="str">
            <v>AT - Geomaatika</v>
          </cell>
          <cell r="E45">
            <v>4</v>
          </cell>
          <cell r="F45">
            <v>371</v>
          </cell>
          <cell r="G45">
            <v>346</v>
          </cell>
          <cell r="H45">
            <v>397</v>
          </cell>
        </row>
        <row r="46">
          <cell r="D46" t="str">
            <v>AT - Haridus</v>
          </cell>
          <cell r="E46">
            <v>1</v>
          </cell>
          <cell r="F46">
            <v>160</v>
          </cell>
          <cell r="G46">
            <v>150</v>
          </cell>
          <cell r="H46">
            <v>171</v>
          </cell>
        </row>
        <row r="47">
          <cell r="D47" t="str">
            <v>AT - Haridus</v>
          </cell>
          <cell r="E47" t="str">
            <v>2A</v>
          </cell>
          <cell r="F47">
            <v>244</v>
          </cell>
          <cell r="G47">
            <v>228</v>
          </cell>
          <cell r="H47">
            <v>261</v>
          </cell>
        </row>
        <row r="48">
          <cell r="D48" t="str">
            <v>AT - Haridus</v>
          </cell>
          <cell r="E48" t="str">
            <v>2B</v>
          </cell>
          <cell r="F48">
            <v>244</v>
          </cell>
          <cell r="G48">
            <v>228</v>
          </cell>
          <cell r="H48">
            <v>261</v>
          </cell>
        </row>
        <row r="49">
          <cell r="D49" t="str">
            <v>AT - Haridus</v>
          </cell>
          <cell r="E49" t="str">
            <v>3A</v>
          </cell>
          <cell r="F49">
            <v>323</v>
          </cell>
          <cell r="G49">
            <v>301</v>
          </cell>
          <cell r="H49">
            <v>345</v>
          </cell>
        </row>
        <row r="50">
          <cell r="D50" t="str">
            <v>AT - Haridus</v>
          </cell>
          <cell r="E50" t="str">
            <v>3B</v>
          </cell>
          <cell r="F50">
            <v>323</v>
          </cell>
          <cell r="G50">
            <v>301</v>
          </cell>
          <cell r="H50">
            <v>345</v>
          </cell>
        </row>
        <row r="51">
          <cell r="D51" t="str">
            <v>AT - Haridus</v>
          </cell>
          <cell r="E51">
            <v>4</v>
          </cell>
          <cell r="F51">
            <v>492</v>
          </cell>
          <cell r="G51">
            <v>458</v>
          </cell>
          <cell r="H51">
            <v>526</v>
          </cell>
        </row>
        <row r="52">
          <cell r="D52" t="str">
            <v>AT - Info ja dokumendihaldus</v>
          </cell>
          <cell r="E52">
            <v>1</v>
          </cell>
          <cell r="F52">
            <v>105</v>
          </cell>
          <cell r="G52">
            <v>98</v>
          </cell>
          <cell r="H52">
            <v>112</v>
          </cell>
        </row>
        <row r="53">
          <cell r="D53" t="str">
            <v>AT - Info ja dokumendihaldus</v>
          </cell>
          <cell r="E53">
            <v>2</v>
          </cell>
          <cell r="F53">
            <v>139</v>
          </cell>
          <cell r="G53">
            <v>130</v>
          </cell>
          <cell r="H53">
            <v>149</v>
          </cell>
        </row>
        <row r="54">
          <cell r="D54" t="str">
            <v>AT - Info ja dokumendihaldus</v>
          </cell>
          <cell r="E54">
            <v>3</v>
          </cell>
          <cell r="F54">
            <v>212</v>
          </cell>
          <cell r="G54">
            <v>198</v>
          </cell>
          <cell r="H54">
            <v>227</v>
          </cell>
        </row>
        <row r="55">
          <cell r="D55" t="str">
            <v>AT - Info ja dokumendihaldus</v>
          </cell>
          <cell r="E55">
            <v>4</v>
          </cell>
          <cell r="F55">
            <v>281</v>
          </cell>
          <cell r="G55">
            <v>262</v>
          </cell>
          <cell r="H55">
            <v>300</v>
          </cell>
        </row>
        <row r="56">
          <cell r="D56" t="str">
            <v>AT - Info ja dokumendihaldus</v>
          </cell>
          <cell r="E56">
            <v>5</v>
          </cell>
          <cell r="F56">
            <v>371</v>
          </cell>
          <cell r="G56">
            <v>346</v>
          </cell>
          <cell r="H56">
            <v>397</v>
          </cell>
        </row>
        <row r="57">
          <cell r="D57" t="str">
            <v>AT - Inseneritööd</v>
          </cell>
          <cell r="E57">
            <v>1</v>
          </cell>
          <cell r="F57">
            <v>160</v>
          </cell>
          <cell r="G57">
            <v>150</v>
          </cell>
          <cell r="H57">
            <v>171</v>
          </cell>
        </row>
        <row r="58">
          <cell r="D58" t="str">
            <v>AT - Inseneritööd</v>
          </cell>
          <cell r="E58">
            <v>2</v>
          </cell>
          <cell r="F58">
            <v>244</v>
          </cell>
          <cell r="G58">
            <v>228</v>
          </cell>
          <cell r="H58">
            <v>261</v>
          </cell>
        </row>
        <row r="59">
          <cell r="D59" t="str">
            <v>AT - Inseneritööd</v>
          </cell>
          <cell r="E59">
            <v>3</v>
          </cell>
          <cell r="F59">
            <v>323</v>
          </cell>
          <cell r="G59">
            <v>301</v>
          </cell>
          <cell r="H59">
            <v>345</v>
          </cell>
        </row>
        <row r="60">
          <cell r="D60" t="str">
            <v>AT - Inseneritööd</v>
          </cell>
          <cell r="E60">
            <v>4</v>
          </cell>
          <cell r="F60">
            <v>427</v>
          </cell>
          <cell r="G60">
            <v>398</v>
          </cell>
          <cell r="H60">
            <v>457</v>
          </cell>
        </row>
        <row r="61">
          <cell r="D61" t="str">
            <v>AT - Instruktorid-koolitajad</v>
          </cell>
          <cell r="E61">
            <v>1</v>
          </cell>
          <cell r="F61">
            <v>160</v>
          </cell>
          <cell r="G61">
            <v>150</v>
          </cell>
          <cell r="H61">
            <v>171</v>
          </cell>
        </row>
        <row r="62">
          <cell r="D62" t="str">
            <v>AT - Instruktorid-koolitajad</v>
          </cell>
          <cell r="E62">
            <v>2</v>
          </cell>
          <cell r="F62">
            <v>212</v>
          </cell>
          <cell r="G62">
            <v>198</v>
          </cell>
          <cell r="H62">
            <v>227</v>
          </cell>
        </row>
        <row r="63">
          <cell r="D63" t="str">
            <v>AT - Instruktorid-koolitajad</v>
          </cell>
          <cell r="E63">
            <v>3</v>
          </cell>
          <cell r="F63">
            <v>281</v>
          </cell>
          <cell r="G63">
            <v>262</v>
          </cell>
          <cell r="H63">
            <v>300</v>
          </cell>
        </row>
        <row r="64">
          <cell r="D64" t="str">
            <v>AT - Isikute teenindamine</v>
          </cell>
          <cell r="E64">
            <v>1</v>
          </cell>
          <cell r="F64">
            <v>79</v>
          </cell>
          <cell r="G64">
            <v>74</v>
          </cell>
          <cell r="H64">
            <v>84</v>
          </cell>
        </row>
        <row r="65">
          <cell r="D65" t="str">
            <v>AT - Isikute teenindamine</v>
          </cell>
          <cell r="E65">
            <v>2</v>
          </cell>
          <cell r="F65">
            <v>105</v>
          </cell>
          <cell r="G65">
            <v>98</v>
          </cell>
          <cell r="H65">
            <v>112</v>
          </cell>
        </row>
        <row r="66">
          <cell r="D66" t="str">
            <v>AT - Isikute teenindamine</v>
          </cell>
          <cell r="E66" t="str">
            <v>3A</v>
          </cell>
          <cell r="F66">
            <v>139</v>
          </cell>
          <cell r="G66">
            <v>130</v>
          </cell>
          <cell r="H66">
            <v>149</v>
          </cell>
        </row>
        <row r="67">
          <cell r="D67" t="str">
            <v>AT - Isikute teenindamine</v>
          </cell>
          <cell r="E67" t="str">
            <v>3B</v>
          </cell>
          <cell r="F67">
            <v>160</v>
          </cell>
          <cell r="G67">
            <v>150</v>
          </cell>
          <cell r="H67">
            <v>171</v>
          </cell>
        </row>
        <row r="68">
          <cell r="D68" t="str">
            <v>AT - Isikute teenindamine</v>
          </cell>
          <cell r="E68">
            <v>4</v>
          </cell>
          <cell r="F68">
            <v>244</v>
          </cell>
          <cell r="G68">
            <v>228</v>
          </cell>
          <cell r="H68">
            <v>261</v>
          </cell>
        </row>
        <row r="69">
          <cell r="D69" t="str">
            <v>AT - Isikute teenindamine</v>
          </cell>
          <cell r="E69">
            <v>5</v>
          </cell>
          <cell r="F69">
            <v>323</v>
          </cell>
          <cell r="G69">
            <v>301</v>
          </cell>
          <cell r="H69">
            <v>345</v>
          </cell>
        </row>
        <row r="70">
          <cell r="D70" t="str">
            <v>AT - IT - andmeturve</v>
          </cell>
          <cell r="E70">
            <v>1</v>
          </cell>
          <cell r="F70">
            <v>184</v>
          </cell>
          <cell r="G70">
            <v>172</v>
          </cell>
          <cell r="H70">
            <v>197</v>
          </cell>
        </row>
        <row r="71">
          <cell r="D71" t="str">
            <v>AT - IT - andmeturve</v>
          </cell>
          <cell r="E71">
            <v>2</v>
          </cell>
          <cell r="F71">
            <v>281</v>
          </cell>
          <cell r="G71">
            <v>262</v>
          </cell>
          <cell r="H71">
            <v>300</v>
          </cell>
        </row>
        <row r="72">
          <cell r="D72" t="str">
            <v>AT - IT - andmeturve</v>
          </cell>
          <cell r="E72">
            <v>3</v>
          </cell>
          <cell r="F72">
            <v>371</v>
          </cell>
          <cell r="G72">
            <v>346</v>
          </cell>
          <cell r="H72">
            <v>397</v>
          </cell>
        </row>
        <row r="73">
          <cell r="D73" t="str">
            <v>AT - IT - arvutigraafika</v>
          </cell>
          <cell r="E73">
            <v>1</v>
          </cell>
          <cell r="F73">
            <v>139</v>
          </cell>
          <cell r="G73">
            <v>130</v>
          </cell>
          <cell r="H73">
            <v>149</v>
          </cell>
        </row>
        <row r="74">
          <cell r="D74" t="str">
            <v>AT - IT - arvutigraafika</v>
          </cell>
          <cell r="E74">
            <v>2</v>
          </cell>
          <cell r="F74">
            <v>244</v>
          </cell>
          <cell r="G74">
            <v>228</v>
          </cell>
          <cell r="H74">
            <v>261</v>
          </cell>
        </row>
        <row r="75">
          <cell r="D75" t="str">
            <v>AT - IT - juhtimine</v>
          </cell>
          <cell r="E75">
            <v>1</v>
          </cell>
          <cell r="F75">
            <v>244</v>
          </cell>
          <cell r="G75">
            <v>228</v>
          </cell>
          <cell r="H75">
            <v>261</v>
          </cell>
        </row>
        <row r="76">
          <cell r="D76" t="str">
            <v>AT - IT - juhtimine</v>
          </cell>
          <cell r="E76">
            <v>2</v>
          </cell>
          <cell r="F76">
            <v>371</v>
          </cell>
          <cell r="G76">
            <v>346</v>
          </cell>
          <cell r="H76">
            <v>397</v>
          </cell>
        </row>
        <row r="77">
          <cell r="D77" t="str">
            <v>AT - IT - juhtimine</v>
          </cell>
          <cell r="E77">
            <v>3</v>
          </cell>
          <cell r="F77">
            <v>492</v>
          </cell>
          <cell r="G77">
            <v>458</v>
          </cell>
          <cell r="H77">
            <v>526</v>
          </cell>
        </row>
        <row r="78">
          <cell r="D78" t="str">
            <v>AT - IT - konsultandid</v>
          </cell>
          <cell r="E78">
            <v>1</v>
          </cell>
          <cell r="F78">
            <v>212</v>
          </cell>
          <cell r="G78">
            <v>198</v>
          </cell>
          <cell r="H78">
            <v>227</v>
          </cell>
        </row>
        <row r="79">
          <cell r="D79" t="str">
            <v>AT - IT - konsultandid</v>
          </cell>
          <cell r="E79">
            <v>2</v>
          </cell>
          <cell r="F79">
            <v>281</v>
          </cell>
          <cell r="G79">
            <v>262</v>
          </cell>
          <cell r="H79">
            <v>300</v>
          </cell>
        </row>
        <row r="80">
          <cell r="D80" t="str">
            <v>AT - IT - konsultandid</v>
          </cell>
          <cell r="E80">
            <v>3</v>
          </cell>
          <cell r="F80">
            <v>427</v>
          </cell>
          <cell r="G80">
            <v>398</v>
          </cell>
          <cell r="H80">
            <v>457</v>
          </cell>
        </row>
        <row r="81">
          <cell r="D81" t="str">
            <v>AT - IT - projektijuhtimine</v>
          </cell>
          <cell r="E81">
            <v>1</v>
          </cell>
          <cell r="F81">
            <v>212</v>
          </cell>
          <cell r="G81">
            <v>198</v>
          </cell>
          <cell r="H81">
            <v>227</v>
          </cell>
        </row>
        <row r="82">
          <cell r="D82" t="str">
            <v>AT - IT - projektijuhtimine</v>
          </cell>
          <cell r="E82">
            <v>2</v>
          </cell>
          <cell r="F82">
            <v>281</v>
          </cell>
          <cell r="G82">
            <v>262</v>
          </cell>
          <cell r="H82">
            <v>300</v>
          </cell>
        </row>
        <row r="83">
          <cell r="D83" t="str">
            <v>AT - IT - projektijuhtimine</v>
          </cell>
          <cell r="E83">
            <v>3</v>
          </cell>
          <cell r="F83">
            <v>371</v>
          </cell>
          <cell r="G83">
            <v>346</v>
          </cell>
          <cell r="H83">
            <v>397</v>
          </cell>
        </row>
        <row r="84">
          <cell r="D84" t="str">
            <v>AT - IT - süsteemiadministratsioon</v>
          </cell>
          <cell r="E84">
            <v>1</v>
          </cell>
          <cell r="F84">
            <v>139</v>
          </cell>
          <cell r="G84">
            <v>130</v>
          </cell>
          <cell r="H84">
            <v>149</v>
          </cell>
        </row>
        <row r="85">
          <cell r="D85" t="str">
            <v>AT - IT - süsteemiadministratsioon</v>
          </cell>
          <cell r="E85">
            <v>2</v>
          </cell>
          <cell r="F85">
            <v>212</v>
          </cell>
          <cell r="G85">
            <v>198</v>
          </cell>
          <cell r="H85">
            <v>227</v>
          </cell>
        </row>
        <row r="86">
          <cell r="D86" t="str">
            <v>AT - IT - süsteemiadministratsioon</v>
          </cell>
          <cell r="E86">
            <v>3</v>
          </cell>
          <cell r="F86">
            <v>281</v>
          </cell>
          <cell r="G86">
            <v>262</v>
          </cell>
          <cell r="H86">
            <v>300</v>
          </cell>
        </row>
        <row r="87">
          <cell r="D87" t="str">
            <v>AT - IT - süsteemiadministratsioon</v>
          </cell>
          <cell r="E87">
            <v>4</v>
          </cell>
          <cell r="F87">
            <v>427</v>
          </cell>
          <cell r="G87">
            <v>398</v>
          </cell>
          <cell r="H87">
            <v>457</v>
          </cell>
        </row>
        <row r="88">
          <cell r="D88" t="str">
            <v>AT - IT - süsteemianalüüs</v>
          </cell>
          <cell r="E88">
            <v>1</v>
          </cell>
          <cell r="F88">
            <v>160</v>
          </cell>
          <cell r="G88">
            <v>150</v>
          </cell>
          <cell r="H88">
            <v>171</v>
          </cell>
        </row>
        <row r="89">
          <cell r="D89" t="str">
            <v>AT - IT - süsteemianalüüs</v>
          </cell>
          <cell r="E89">
            <v>2</v>
          </cell>
          <cell r="F89">
            <v>244</v>
          </cell>
          <cell r="G89">
            <v>228</v>
          </cell>
          <cell r="H89">
            <v>261</v>
          </cell>
        </row>
        <row r="90">
          <cell r="D90" t="str">
            <v>AT - IT - süsteemianalüüs</v>
          </cell>
          <cell r="E90">
            <v>3</v>
          </cell>
          <cell r="F90">
            <v>323</v>
          </cell>
          <cell r="G90">
            <v>301</v>
          </cell>
          <cell r="H90">
            <v>345</v>
          </cell>
        </row>
        <row r="91">
          <cell r="D91" t="str">
            <v>AT - IT - süsteemianalüüs</v>
          </cell>
          <cell r="E91">
            <v>4</v>
          </cell>
          <cell r="F91">
            <v>492</v>
          </cell>
          <cell r="G91">
            <v>458</v>
          </cell>
          <cell r="H91">
            <v>526</v>
          </cell>
        </row>
        <row r="92">
          <cell r="D92" t="str">
            <v>AT - IT - süsteemiarhitektuur</v>
          </cell>
          <cell r="E92">
            <v>1</v>
          </cell>
          <cell r="F92">
            <v>323</v>
          </cell>
          <cell r="G92">
            <v>301</v>
          </cell>
          <cell r="H92">
            <v>345</v>
          </cell>
        </row>
        <row r="93">
          <cell r="D93" t="str">
            <v>AT - IT - süsteemiarhitektuur</v>
          </cell>
          <cell r="E93">
            <v>2</v>
          </cell>
          <cell r="F93">
            <v>427</v>
          </cell>
          <cell r="G93">
            <v>398</v>
          </cell>
          <cell r="H93">
            <v>457</v>
          </cell>
        </row>
        <row r="94">
          <cell r="D94" t="str">
            <v>AT - IT - süsteemiarhitektuur</v>
          </cell>
          <cell r="E94">
            <v>3</v>
          </cell>
          <cell r="F94">
            <v>566</v>
          </cell>
          <cell r="G94">
            <v>527</v>
          </cell>
          <cell r="H94">
            <v>605</v>
          </cell>
        </row>
        <row r="95">
          <cell r="D95" t="str">
            <v>AT - IT - tarkvara programmeerimine</v>
          </cell>
          <cell r="E95">
            <v>1</v>
          </cell>
          <cell r="F95">
            <v>160</v>
          </cell>
          <cell r="G95">
            <v>150</v>
          </cell>
          <cell r="H95">
            <v>171</v>
          </cell>
        </row>
        <row r="96">
          <cell r="D96" t="str">
            <v>AT - IT - tarkvara programmeerimine</v>
          </cell>
          <cell r="E96">
            <v>2</v>
          </cell>
          <cell r="F96">
            <v>212</v>
          </cell>
          <cell r="G96">
            <v>198</v>
          </cell>
          <cell r="H96">
            <v>227</v>
          </cell>
        </row>
        <row r="97">
          <cell r="D97" t="str">
            <v>AT - IT - tarkvara programmeerimine</v>
          </cell>
          <cell r="E97">
            <v>3</v>
          </cell>
          <cell r="F97">
            <v>281</v>
          </cell>
          <cell r="G97">
            <v>262</v>
          </cell>
          <cell r="H97">
            <v>300</v>
          </cell>
        </row>
        <row r="98">
          <cell r="D98" t="str">
            <v>AT - IT - tarkvara programmeerimine</v>
          </cell>
          <cell r="E98">
            <v>4</v>
          </cell>
          <cell r="F98">
            <v>427</v>
          </cell>
          <cell r="G98">
            <v>398</v>
          </cell>
          <cell r="H98">
            <v>457</v>
          </cell>
        </row>
        <row r="99">
          <cell r="D99" t="str">
            <v>AT - IT - teenuste tugi</v>
          </cell>
          <cell r="E99">
            <v>1</v>
          </cell>
          <cell r="F99">
            <v>160</v>
          </cell>
          <cell r="G99">
            <v>150</v>
          </cell>
          <cell r="H99">
            <v>171</v>
          </cell>
        </row>
        <row r="100">
          <cell r="D100" t="str">
            <v>AT - IT - teenuste tugi</v>
          </cell>
          <cell r="E100">
            <v>2</v>
          </cell>
          <cell r="F100">
            <v>212</v>
          </cell>
          <cell r="G100">
            <v>198</v>
          </cell>
          <cell r="H100">
            <v>227</v>
          </cell>
        </row>
        <row r="101">
          <cell r="D101" t="str">
            <v>AT - IT - teenuste tugi</v>
          </cell>
          <cell r="E101">
            <v>3</v>
          </cell>
          <cell r="F101">
            <v>281</v>
          </cell>
          <cell r="G101">
            <v>262</v>
          </cell>
          <cell r="H101">
            <v>300</v>
          </cell>
        </row>
        <row r="102">
          <cell r="D102" t="str">
            <v>AT - IT - testimine</v>
          </cell>
          <cell r="E102">
            <v>1</v>
          </cell>
          <cell r="F102">
            <v>121</v>
          </cell>
          <cell r="G102">
            <v>113</v>
          </cell>
          <cell r="H102">
            <v>129</v>
          </cell>
        </row>
        <row r="103">
          <cell r="D103" t="str">
            <v>AT - IT - testimine</v>
          </cell>
          <cell r="E103">
            <v>2</v>
          </cell>
          <cell r="F103">
            <v>160</v>
          </cell>
          <cell r="G103">
            <v>150</v>
          </cell>
          <cell r="H103">
            <v>171</v>
          </cell>
        </row>
        <row r="104">
          <cell r="D104" t="str">
            <v>AT - IT - testimine</v>
          </cell>
          <cell r="E104">
            <v>3</v>
          </cell>
          <cell r="F104">
            <v>212</v>
          </cell>
          <cell r="G104">
            <v>198</v>
          </cell>
          <cell r="H104">
            <v>227</v>
          </cell>
        </row>
        <row r="105">
          <cell r="D105" t="str">
            <v>AT - IT - testimine</v>
          </cell>
          <cell r="E105">
            <v>4</v>
          </cell>
          <cell r="F105">
            <v>281</v>
          </cell>
          <cell r="G105">
            <v>262</v>
          </cell>
          <cell r="H105">
            <v>300</v>
          </cell>
        </row>
        <row r="106">
          <cell r="D106" t="str">
            <v>AT - Kokad</v>
          </cell>
          <cell r="E106">
            <v>1</v>
          </cell>
          <cell r="F106">
            <v>79</v>
          </cell>
          <cell r="G106">
            <v>74</v>
          </cell>
          <cell r="H106">
            <v>84</v>
          </cell>
        </row>
        <row r="107">
          <cell r="D107" t="str">
            <v>AT - Kokad</v>
          </cell>
          <cell r="E107">
            <v>2</v>
          </cell>
          <cell r="F107">
            <v>105</v>
          </cell>
          <cell r="G107">
            <v>98</v>
          </cell>
          <cell r="H107">
            <v>112</v>
          </cell>
        </row>
        <row r="108">
          <cell r="D108" t="str">
            <v>AT - Kokad</v>
          </cell>
          <cell r="E108">
            <v>3</v>
          </cell>
          <cell r="F108">
            <v>160</v>
          </cell>
          <cell r="G108">
            <v>150</v>
          </cell>
          <cell r="H108">
            <v>171</v>
          </cell>
        </row>
        <row r="109">
          <cell r="D109" t="str">
            <v>AT - Kokad</v>
          </cell>
          <cell r="E109">
            <v>4</v>
          </cell>
          <cell r="F109">
            <v>281</v>
          </cell>
          <cell r="G109">
            <v>262</v>
          </cell>
          <cell r="H109">
            <v>300</v>
          </cell>
        </row>
        <row r="110">
          <cell r="D110" t="str">
            <v>AT - Kommunikatsiooni juhtimine</v>
          </cell>
          <cell r="E110">
            <v>1</v>
          </cell>
          <cell r="F110">
            <v>160</v>
          </cell>
          <cell r="G110">
            <v>150</v>
          </cell>
          <cell r="H110">
            <v>171</v>
          </cell>
        </row>
        <row r="111">
          <cell r="D111" t="str">
            <v>AT - Kommunikatsiooni juhtimine</v>
          </cell>
          <cell r="E111">
            <v>2</v>
          </cell>
          <cell r="F111">
            <v>244</v>
          </cell>
          <cell r="G111">
            <v>228</v>
          </cell>
          <cell r="H111">
            <v>261</v>
          </cell>
        </row>
        <row r="112">
          <cell r="D112" t="str">
            <v>AT - Kommunikatsiooni juhtimine</v>
          </cell>
          <cell r="E112">
            <v>3</v>
          </cell>
          <cell r="F112">
            <v>323</v>
          </cell>
          <cell r="G112">
            <v>301</v>
          </cell>
          <cell r="H112">
            <v>345</v>
          </cell>
        </row>
        <row r="113">
          <cell r="D113" t="str">
            <v>AT - Kommunikatsiooni juhtimine</v>
          </cell>
          <cell r="E113">
            <v>4</v>
          </cell>
          <cell r="F113">
            <v>492</v>
          </cell>
          <cell r="G113">
            <v>458</v>
          </cell>
          <cell r="H113">
            <v>526</v>
          </cell>
        </row>
        <row r="114">
          <cell r="D114" t="str">
            <v>AT - Koostöö korraldamine</v>
          </cell>
          <cell r="E114">
            <v>1</v>
          </cell>
          <cell r="F114">
            <v>160</v>
          </cell>
          <cell r="G114">
            <v>150</v>
          </cell>
          <cell r="H114">
            <v>171</v>
          </cell>
        </row>
        <row r="115">
          <cell r="D115" t="str">
            <v>AT - Koostöö korraldamine</v>
          </cell>
          <cell r="E115">
            <v>2</v>
          </cell>
          <cell r="F115">
            <v>212</v>
          </cell>
          <cell r="G115">
            <v>198</v>
          </cell>
          <cell r="H115">
            <v>227</v>
          </cell>
        </row>
        <row r="116">
          <cell r="D116" t="str">
            <v>AT - Koostöö korraldamine</v>
          </cell>
          <cell r="E116">
            <v>3</v>
          </cell>
          <cell r="F116">
            <v>281</v>
          </cell>
          <cell r="G116">
            <v>262</v>
          </cell>
          <cell r="H116">
            <v>300</v>
          </cell>
        </row>
        <row r="117">
          <cell r="D117" t="str">
            <v>AT - Koostöö korraldamine</v>
          </cell>
          <cell r="E117">
            <v>4</v>
          </cell>
          <cell r="F117">
            <v>427</v>
          </cell>
          <cell r="G117">
            <v>398</v>
          </cell>
          <cell r="H117">
            <v>457</v>
          </cell>
        </row>
        <row r="118">
          <cell r="D118" t="str">
            <v>AT - Korra tagamine</v>
          </cell>
          <cell r="E118">
            <v>1</v>
          </cell>
          <cell r="F118">
            <v>105</v>
          </cell>
          <cell r="G118">
            <v>98</v>
          </cell>
          <cell r="H118">
            <v>112</v>
          </cell>
        </row>
        <row r="119">
          <cell r="D119" t="str">
            <v>AT - Korra tagamine</v>
          </cell>
          <cell r="E119">
            <v>2</v>
          </cell>
          <cell r="F119">
            <v>139</v>
          </cell>
          <cell r="G119">
            <v>130</v>
          </cell>
          <cell r="H119">
            <v>149</v>
          </cell>
        </row>
        <row r="120">
          <cell r="D120" t="str">
            <v>AT - Korra tagamine</v>
          </cell>
          <cell r="E120">
            <v>3</v>
          </cell>
          <cell r="F120">
            <v>184</v>
          </cell>
          <cell r="G120">
            <v>172</v>
          </cell>
          <cell r="H120">
            <v>197</v>
          </cell>
        </row>
        <row r="121">
          <cell r="D121" t="str">
            <v>AT - Korra tagamine</v>
          </cell>
          <cell r="E121">
            <v>4</v>
          </cell>
          <cell r="F121">
            <v>212</v>
          </cell>
          <cell r="G121">
            <v>198</v>
          </cell>
          <cell r="H121">
            <v>227</v>
          </cell>
        </row>
        <row r="122">
          <cell r="D122" t="str">
            <v>AT - Korra tagamine</v>
          </cell>
          <cell r="E122">
            <v>5</v>
          </cell>
          <cell r="F122">
            <v>244</v>
          </cell>
          <cell r="G122">
            <v>228</v>
          </cell>
          <cell r="H122">
            <v>261</v>
          </cell>
        </row>
        <row r="123">
          <cell r="D123" t="str">
            <v>AT - Korra tagamine</v>
          </cell>
          <cell r="E123">
            <v>6</v>
          </cell>
          <cell r="F123">
            <v>323</v>
          </cell>
          <cell r="G123">
            <v>301</v>
          </cell>
          <cell r="H123">
            <v>345</v>
          </cell>
        </row>
        <row r="124">
          <cell r="D124" t="str">
            <v>AT - Korra tagamine</v>
          </cell>
          <cell r="E124">
            <v>7</v>
          </cell>
          <cell r="F124">
            <v>427</v>
          </cell>
          <cell r="G124">
            <v>398</v>
          </cell>
          <cell r="H124">
            <v>457</v>
          </cell>
        </row>
        <row r="125">
          <cell r="D125" t="str">
            <v>AT - Kunstilised tööd</v>
          </cell>
          <cell r="E125">
            <v>1</v>
          </cell>
          <cell r="F125">
            <v>139</v>
          </cell>
          <cell r="G125">
            <v>130</v>
          </cell>
          <cell r="H125">
            <v>149</v>
          </cell>
        </row>
        <row r="126">
          <cell r="D126" t="str">
            <v>AT - Kunstilised tööd</v>
          </cell>
          <cell r="E126">
            <v>2</v>
          </cell>
          <cell r="F126">
            <v>184</v>
          </cell>
          <cell r="G126">
            <v>172</v>
          </cell>
          <cell r="H126">
            <v>197</v>
          </cell>
        </row>
        <row r="127">
          <cell r="D127" t="str">
            <v>AT - Laboritööd</v>
          </cell>
          <cell r="E127">
            <v>1</v>
          </cell>
          <cell r="F127">
            <v>79</v>
          </cell>
          <cell r="G127">
            <v>74</v>
          </cell>
          <cell r="H127">
            <v>84</v>
          </cell>
        </row>
        <row r="128">
          <cell r="D128" t="str">
            <v>AT - Laboritööd</v>
          </cell>
          <cell r="E128">
            <v>2</v>
          </cell>
          <cell r="F128">
            <v>121</v>
          </cell>
          <cell r="G128">
            <v>113</v>
          </cell>
          <cell r="H128">
            <v>129</v>
          </cell>
        </row>
        <row r="129">
          <cell r="D129" t="str">
            <v>AT - Laboritööd</v>
          </cell>
          <cell r="E129">
            <v>3</v>
          </cell>
          <cell r="F129">
            <v>184</v>
          </cell>
          <cell r="G129">
            <v>172</v>
          </cell>
          <cell r="H129">
            <v>197</v>
          </cell>
        </row>
        <row r="130">
          <cell r="D130" t="str">
            <v>AT - Laboritööd</v>
          </cell>
          <cell r="E130">
            <v>4</v>
          </cell>
          <cell r="F130">
            <v>244</v>
          </cell>
          <cell r="G130">
            <v>228</v>
          </cell>
          <cell r="H130">
            <v>261</v>
          </cell>
        </row>
        <row r="131">
          <cell r="D131" t="str">
            <v>AT - Laboritööd</v>
          </cell>
          <cell r="E131">
            <v>5</v>
          </cell>
          <cell r="F131">
            <v>323</v>
          </cell>
          <cell r="G131">
            <v>301</v>
          </cell>
          <cell r="H131">
            <v>345</v>
          </cell>
        </row>
        <row r="132">
          <cell r="D132" t="str">
            <v>AT - Ladu</v>
          </cell>
          <cell r="E132">
            <v>1</v>
          </cell>
          <cell r="F132">
            <v>91</v>
          </cell>
          <cell r="G132">
            <v>85</v>
          </cell>
          <cell r="H132">
            <v>97</v>
          </cell>
        </row>
        <row r="133">
          <cell r="D133" t="str">
            <v>AT - Ladu</v>
          </cell>
          <cell r="E133">
            <v>2</v>
          </cell>
          <cell r="F133">
            <v>139</v>
          </cell>
          <cell r="G133">
            <v>130</v>
          </cell>
          <cell r="H133">
            <v>149</v>
          </cell>
        </row>
        <row r="134">
          <cell r="D134" t="str">
            <v>AT - Ladu</v>
          </cell>
          <cell r="E134">
            <v>3</v>
          </cell>
          <cell r="F134">
            <v>184</v>
          </cell>
          <cell r="G134">
            <v>172</v>
          </cell>
          <cell r="H134">
            <v>197</v>
          </cell>
        </row>
        <row r="135">
          <cell r="D135" t="str">
            <v>AT - Ladu</v>
          </cell>
          <cell r="E135">
            <v>4</v>
          </cell>
          <cell r="F135">
            <v>323</v>
          </cell>
          <cell r="G135">
            <v>301</v>
          </cell>
          <cell r="H135">
            <v>345</v>
          </cell>
        </row>
        <row r="136">
          <cell r="D136" t="str">
            <v>AT - Laevameeskond</v>
          </cell>
          <cell r="E136">
            <v>1</v>
          </cell>
          <cell r="F136">
            <v>91</v>
          </cell>
          <cell r="G136">
            <v>85</v>
          </cell>
          <cell r="H136">
            <v>97</v>
          </cell>
        </row>
        <row r="137">
          <cell r="D137" t="str">
            <v>AT - Laevameeskond</v>
          </cell>
          <cell r="E137">
            <v>2</v>
          </cell>
          <cell r="F137">
            <v>139</v>
          </cell>
          <cell r="G137">
            <v>130</v>
          </cell>
          <cell r="H137">
            <v>149</v>
          </cell>
        </row>
        <row r="138">
          <cell r="D138" t="str">
            <v>AT - Laevameeskond</v>
          </cell>
          <cell r="E138">
            <v>3</v>
          </cell>
          <cell r="F138">
            <v>160</v>
          </cell>
          <cell r="G138">
            <v>150</v>
          </cell>
          <cell r="H138">
            <v>171</v>
          </cell>
        </row>
        <row r="139">
          <cell r="D139" t="str">
            <v>AT - Laevameeskond</v>
          </cell>
          <cell r="E139" t="str">
            <v>4A</v>
          </cell>
          <cell r="F139">
            <v>184</v>
          </cell>
          <cell r="G139">
            <v>172</v>
          </cell>
          <cell r="H139">
            <v>197</v>
          </cell>
        </row>
        <row r="140">
          <cell r="D140" t="str">
            <v>AT - Laevameeskond</v>
          </cell>
          <cell r="E140" t="str">
            <v>4B</v>
          </cell>
          <cell r="F140">
            <v>212</v>
          </cell>
          <cell r="G140">
            <v>198</v>
          </cell>
          <cell r="H140">
            <v>227</v>
          </cell>
        </row>
        <row r="141">
          <cell r="D141" t="str">
            <v>AT - Laevameeskond</v>
          </cell>
          <cell r="E141" t="str">
            <v>4C</v>
          </cell>
          <cell r="F141">
            <v>244</v>
          </cell>
          <cell r="G141">
            <v>228</v>
          </cell>
          <cell r="H141">
            <v>261</v>
          </cell>
        </row>
        <row r="142">
          <cell r="D142" t="str">
            <v>AT - Laevameeskond</v>
          </cell>
          <cell r="E142" t="str">
            <v>5A</v>
          </cell>
          <cell r="F142">
            <v>281</v>
          </cell>
          <cell r="G142">
            <v>262</v>
          </cell>
          <cell r="H142">
            <v>300</v>
          </cell>
        </row>
        <row r="143">
          <cell r="D143" t="str">
            <v>AT - Laevameeskond</v>
          </cell>
          <cell r="E143" t="str">
            <v>5B</v>
          </cell>
          <cell r="F143">
            <v>323</v>
          </cell>
          <cell r="G143">
            <v>301</v>
          </cell>
          <cell r="H143">
            <v>345</v>
          </cell>
        </row>
        <row r="144">
          <cell r="D144" t="str">
            <v>AT - Laevameeskond</v>
          </cell>
          <cell r="E144" t="str">
            <v>5C</v>
          </cell>
          <cell r="F144">
            <v>371</v>
          </cell>
          <cell r="G144">
            <v>346</v>
          </cell>
          <cell r="H144">
            <v>397</v>
          </cell>
        </row>
        <row r="145">
          <cell r="D145" t="str">
            <v>AT - Logistika</v>
          </cell>
          <cell r="E145">
            <v>1</v>
          </cell>
          <cell r="F145">
            <v>121</v>
          </cell>
          <cell r="G145">
            <v>113</v>
          </cell>
          <cell r="H145">
            <v>129</v>
          </cell>
        </row>
        <row r="146">
          <cell r="D146" t="str">
            <v>AT - Logistika</v>
          </cell>
          <cell r="E146">
            <v>2</v>
          </cell>
          <cell r="F146">
            <v>184</v>
          </cell>
          <cell r="G146">
            <v>172</v>
          </cell>
          <cell r="H146">
            <v>197</v>
          </cell>
        </row>
        <row r="147">
          <cell r="D147" t="str">
            <v>AT - Logistika</v>
          </cell>
          <cell r="E147">
            <v>3</v>
          </cell>
          <cell r="F147">
            <v>244</v>
          </cell>
          <cell r="G147">
            <v>228</v>
          </cell>
          <cell r="H147">
            <v>261</v>
          </cell>
        </row>
        <row r="148">
          <cell r="D148" t="str">
            <v>AT - Logistika</v>
          </cell>
          <cell r="E148">
            <v>4</v>
          </cell>
          <cell r="F148">
            <v>371</v>
          </cell>
          <cell r="G148">
            <v>346</v>
          </cell>
          <cell r="H148">
            <v>397</v>
          </cell>
        </row>
        <row r="149">
          <cell r="D149" t="str">
            <v>AT - Logistika</v>
          </cell>
          <cell r="E149">
            <v>5</v>
          </cell>
          <cell r="F149">
            <v>492</v>
          </cell>
          <cell r="G149">
            <v>458</v>
          </cell>
          <cell r="H149">
            <v>526</v>
          </cell>
        </row>
        <row r="150">
          <cell r="D150" t="str">
            <v>AT - Meditsiin</v>
          </cell>
          <cell r="E150">
            <v>1</v>
          </cell>
          <cell r="F150">
            <v>91</v>
          </cell>
          <cell r="G150">
            <v>85</v>
          </cell>
          <cell r="H150">
            <v>97</v>
          </cell>
        </row>
        <row r="151">
          <cell r="D151" t="str">
            <v>AT - Meditsiin</v>
          </cell>
          <cell r="E151">
            <v>2</v>
          </cell>
          <cell r="F151">
            <v>139</v>
          </cell>
          <cell r="G151">
            <v>130</v>
          </cell>
          <cell r="H151">
            <v>149</v>
          </cell>
        </row>
        <row r="152">
          <cell r="D152" t="str">
            <v>AT - Meditsiin</v>
          </cell>
          <cell r="E152">
            <v>3</v>
          </cell>
          <cell r="F152">
            <v>244</v>
          </cell>
          <cell r="G152">
            <v>228</v>
          </cell>
          <cell r="H152">
            <v>261</v>
          </cell>
        </row>
        <row r="153">
          <cell r="D153" t="str">
            <v>AT - Meditsiin</v>
          </cell>
          <cell r="E153">
            <v>4</v>
          </cell>
          <cell r="F153">
            <v>371</v>
          </cell>
          <cell r="G153">
            <v>346</v>
          </cell>
          <cell r="H153">
            <v>397</v>
          </cell>
        </row>
        <row r="154">
          <cell r="D154" t="str">
            <v>AT - Muuseumitööd</v>
          </cell>
          <cell r="E154">
            <v>1</v>
          </cell>
          <cell r="F154">
            <v>212</v>
          </cell>
          <cell r="G154">
            <v>198</v>
          </cell>
          <cell r="H154">
            <v>227</v>
          </cell>
        </row>
        <row r="155">
          <cell r="D155" t="str">
            <v>AT - Muuseumitööd</v>
          </cell>
          <cell r="E155">
            <v>2</v>
          </cell>
          <cell r="F155">
            <v>281</v>
          </cell>
          <cell r="G155">
            <v>262</v>
          </cell>
          <cell r="H155">
            <v>300</v>
          </cell>
        </row>
        <row r="156">
          <cell r="D156" t="str">
            <v>AT - Muuseumitööd</v>
          </cell>
          <cell r="E156">
            <v>3</v>
          </cell>
          <cell r="F156">
            <v>427</v>
          </cell>
          <cell r="G156">
            <v>398</v>
          </cell>
          <cell r="H156">
            <v>457</v>
          </cell>
        </row>
        <row r="157">
          <cell r="D157" t="str">
            <v>AT - Muusikud</v>
          </cell>
          <cell r="E157">
            <v>1</v>
          </cell>
          <cell r="F157">
            <v>160</v>
          </cell>
          <cell r="G157">
            <v>150</v>
          </cell>
          <cell r="H157">
            <v>171</v>
          </cell>
        </row>
        <row r="158">
          <cell r="D158" t="str">
            <v>AT - Muusikud</v>
          </cell>
          <cell r="E158">
            <v>2</v>
          </cell>
          <cell r="F158">
            <v>244</v>
          </cell>
          <cell r="G158">
            <v>228</v>
          </cell>
          <cell r="H158">
            <v>261</v>
          </cell>
        </row>
        <row r="159">
          <cell r="D159" t="str">
            <v>AT - Nõustav ja kontrolliv järelevalve</v>
          </cell>
          <cell r="E159">
            <v>1</v>
          </cell>
          <cell r="F159">
            <v>121</v>
          </cell>
          <cell r="G159">
            <v>113</v>
          </cell>
          <cell r="H159">
            <v>129</v>
          </cell>
        </row>
        <row r="160">
          <cell r="D160" t="str">
            <v>AT - Nõustav ja kontrolliv järelevalve</v>
          </cell>
          <cell r="E160" t="str">
            <v>2A</v>
          </cell>
          <cell r="F160">
            <v>184</v>
          </cell>
          <cell r="G160">
            <v>172</v>
          </cell>
          <cell r="H160">
            <v>197</v>
          </cell>
        </row>
        <row r="161">
          <cell r="D161" t="str">
            <v>AT - Nõustav ja kontrolliv järelevalve</v>
          </cell>
          <cell r="E161" t="str">
            <v>2B</v>
          </cell>
          <cell r="F161">
            <v>212</v>
          </cell>
          <cell r="G161">
            <v>198</v>
          </cell>
          <cell r="H161">
            <v>227</v>
          </cell>
        </row>
        <row r="162">
          <cell r="D162" t="str">
            <v>AT - Nõustav ja kontrolliv järelevalve</v>
          </cell>
          <cell r="E162" t="str">
            <v>3A</v>
          </cell>
          <cell r="F162">
            <v>244</v>
          </cell>
          <cell r="G162">
            <v>228</v>
          </cell>
          <cell r="H162">
            <v>261</v>
          </cell>
        </row>
        <row r="163">
          <cell r="D163" t="str">
            <v>AT - Nõustav ja kontrolliv järelevalve</v>
          </cell>
          <cell r="E163" t="str">
            <v>3B</v>
          </cell>
          <cell r="F163">
            <v>281</v>
          </cell>
          <cell r="G163">
            <v>262</v>
          </cell>
          <cell r="H163">
            <v>300</v>
          </cell>
        </row>
        <row r="164">
          <cell r="D164" t="str">
            <v>AT - Nõustav ja kontrolliv järelevalve</v>
          </cell>
          <cell r="E164">
            <v>4</v>
          </cell>
          <cell r="F164">
            <v>323</v>
          </cell>
          <cell r="G164">
            <v>301</v>
          </cell>
          <cell r="H164">
            <v>345</v>
          </cell>
        </row>
        <row r="165">
          <cell r="D165" t="str">
            <v>AT - Nõustav ja kontrolliv järelevalve</v>
          </cell>
          <cell r="E165">
            <v>5</v>
          </cell>
          <cell r="F165">
            <v>371</v>
          </cell>
          <cell r="G165">
            <v>346</v>
          </cell>
          <cell r="H165">
            <v>397</v>
          </cell>
        </row>
        <row r="166">
          <cell r="D166" t="str">
            <v>AT - Nõustav ja kontrolliv järelevalve</v>
          </cell>
          <cell r="E166">
            <v>6</v>
          </cell>
          <cell r="F166">
            <v>427</v>
          </cell>
          <cell r="G166">
            <v>398</v>
          </cell>
          <cell r="H166">
            <v>457</v>
          </cell>
        </row>
        <row r="167">
          <cell r="D167" t="str">
            <v>AT - Operatiivinfo juhtimine</v>
          </cell>
          <cell r="E167">
            <v>1</v>
          </cell>
          <cell r="F167">
            <v>121</v>
          </cell>
          <cell r="G167">
            <v>113</v>
          </cell>
          <cell r="H167">
            <v>129</v>
          </cell>
        </row>
        <row r="168">
          <cell r="D168" t="str">
            <v>AT - Operatiivinfo juhtimine</v>
          </cell>
          <cell r="E168">
            <v>2</v>
          </cell>
          <cell r="F168">
            <v>160</v>
          </cell>
          <cell r="G168">
            <v>150</v>
          </cell>
          <cell r="H168">
            <v>171</v>
          </cell>
        </row>
        <row r="169">
          <cell r="D169" t="str">
            <v>AT - Operatiivinfo juhtimine</v>
          </cell>
          <cell r="E169" t="str">
            <v>3A</v>
          </cell>
          <cell r="F169">
            <v>244</v>
          </cell>
          <cell r="G169">
            <v>228</v>
          </cell>
          <cell r="H169">
            <v>261</v>
          </cell>
        </row>
        <row r="170">
          <cell r="D170" t="str">
            <v>AT - Operatiivinfo juhtimine</v>
          </cell>
          <cell r="E170" t="str">
            <v>3B</v>
          </cell>
          <cell r="F170">
            <v>244</v>
          </cell>
          <cell r="G170">
            <v>228</v>
          </cell>
          <cell r="H170">
            <v>261</v>
          </cell>
        </row>
        <row r="171">
          <cell r="D171" t="str">
            <v>AT - Operatiivinfo juhtimine</v>
          </cell>
          <cell r="E171">
            <v>4</v>
          </cell>
          <cell r="F171">
            <v>323</v>
          </cell>
          <cell r="G171">
            <v>301</v>
          </cell>
          <cell r="H171">
            <v>345</v>
          </cell>
        </row>
        <row r="172">
          <cell r="D172" t="str">
            <v>AT - Operatiivinfo juhtimine</v>
          </cell>
          <cell r="E172">
            <v>5</v>
          </cell>
          <cell r="F172">
            <v>492</v>
          </cell>
          <cell r="G172">
            <v>458</v>
          </cell>
          <cell r="H172">
            <v>526</v>
          </cell>
        </row>
        <row r="173">
          <cell r="D173" t="str">
            <v>AT - Organisatsiooni protsessid (tegevustõhusus ja kvaliteet)</v>
          </cell>
          <cell r="E173">
            <v>1</v>
          </cell>
          <cell r="F173">
            <v>139</v>
          </cell>
          <cell r="G173">
            <v>130</v>
          </cell>
          <cell r="H173">
            <v>149</v>
          </cell>
        </row>
        <row r="174">
          <cell r="D174" t="str">
            <v>AT - Organisatsiooni protsessid (tegevustõhusus ja kvaliteet)</v>
          </cell>
          <cell r="E174">
            <v>2</v>
          </cell>
          <cell r="F174">
            <v>184</v>
          </cell>
          <cell r="G174">
            <v>172</v>
          </cell>
          <cell r="H174">
            <v>197</v>
          </cell>
        </row>
        <row r="175">
          <cell r="D175" t="str">
            <v>AT - Organisatsiooni protsessid (tegevustõhusus ja kvaliteet)</v>
          </cell>
          <cell r="E175">
            <v>3</v>
          </cell>
          <cell r="F175">
            <v>244</v>
          </cell>
          <cell r="G175">
            <v>228</v>
          </cell>
          <cell r="H175">
            <v>261</v>
          </cell>
        </row>
        <row r="176">
          <cell r="D176" t="str">
            <v>AT - Organisatsiooni protsessid (tegevustõhusus ja kvaliteet)</v>
          </cell>
          <cell r="E176">
            <v>4</v>
          </cell>
          <cell r="F176">
            <v>323</v>
          </cell>
          <cell r="G176">
            <v>301</v>
          </cell>
          <cell r="H176">
            <v>345</v>
          </cell>
        </row>
        <row r="177">
          <cell r="D177" t="str">
            <v>AT - Organisatsiooni protsessid (tegevustõhusus ja kvaliteet)</v>
          </cell>
          <cell r="E177">
            <v>5</v>
          </cell>
          <cell r="F177">
            <v>427</v>
          </cell>
          <cell r="G177">
            <v>398</v>
          </cell>
          <cell r="H177">
            <v>457</v>
          </cell>
        </row>
        <row r="178">
          <cell r="D178" t="str">
            <v>AT - Oskustööd</v>
          </cell>
          <cell r="E178">
            <v>1</v>
          </cell>
          <cell r="F178">
            <v>105</v>
          </cell>
          <cell r="G178">
            <v>98</v>
          </cell>
          <cell r="H178">
            <v>112</v>
          </cell>
        </row>
        <row r="179">
          <cell r="D179" t="str">
            <v>AT - Oskustööd</v>
          </cell>
          <cell r="E179">
            <v>2</v>
          </cell>
          <cell r="F179">
            <v>139</v>
          </cell>
          <cell r="G179">
            <v>130</v>
          </cell>
          <cell r="H179">
            <v>149</v>
          </cell>
        </row>
        <row r="180">
          <cell r="D180" t="str">
            <v>AT - Oskustööd</v>
          </cell>
          <cell r="E180">
            <v>3</v>
          </cell>
          <cell r="F180">
            <v>184</v>
          </cell>
          <cell r="G180">
            <v>172</v>
          </cell>
          <cell r="H180">
            <v>197</v>
          </cell>
        </row>
        <row r="181">
          <cell r="D181" t="str">
            <v>AT - Oskustööd</v>
          </cell>
          <cell r="E181">
            <v>4</v>
          </cell>
          <cell r="F181">
            <v>212</v>
          </cell>
          <cell r="G181">
            <v>198</v>
          </cell>
          <cell r="H181">
            <v>227</v>
          </cell>
        </row>
        <row r="182">
          <cell r="D182" t="str">
            <v>AT - Personalijuhtimine</v>
          </cell>
          <cell r="E182">
            <v>1</v>
          </cell>
          <cell r="F182">
            <v>121</v>
          </cell>
          <cell r="G182">
            <v>113</v>
          </cell>
          <cell r="H182">
            <v>129</v>
          </cell>
        </row>
        <row r="183">
          <cell r="D183" t="str">
            <v>AT - Personalijuhtimine</v>
          </cell>
          <cell r="E183">
            <v>2</v>
          </cell>
          <cell r="F183">
            <v>184</v>
          </cell>
          <cell r="G183">
            <v>172</v>
          </cell>
          <cell r="H183">
            <v>197</v>
          </cell>
        </row>
        <row r="184">
          <cell r="D184" t="str">
            <v>AT - Personalijuhtimine</v>
          </cell>
          <cell r="E184">
            <v>3</v>
          </cell>
          <cell r="F184">
            <v>244</v>
          </cell>
          <cell r="G184">
            <v>228</v>
          </cell>
          <cell r="H184">
            <v>261</v>
          </cell>
        </row>
        <row r="185">
          <cell r="D185" t="str">
            <v>AT - Personalijuhtimine</v>
          </cell>
          <cell r="E185">
            <v>4</v>
          </cell>
          <cell r="F185">
            <v>323</v>
          </cell>
          <cell r="G185">
            <v>301</v>
          </cell>
          <cell r="H185">
            <v>345</v>
          </cell>
        </row>
        <row r="186">
          <cell r="D186" t="str">
            <v>AT - Personalijuhtimine</v>
          </cell>
          <cell r="E186">
            <v>5</v>
          </cell>
          <cell r="F186">
            <v>427</v>
          </cell>
          <cell r="G186">
            <v>398</v>
          </cell>
          <cell r="H186">
            <v>457</v>
          </cell>
        </row>
        <row r="187">
          <cell r="D187" t="str">
            <v>AT - Personalijuhtimine</v>
          </cell>
          <cell r="E187">
            <v>6</v>
          </cell>
          <cell r="F187">
            <v>492</v>
          </cell>
          <cell r="G187">
            <v>458</v>
          </cell>
          <cell r="H187">
            <v>526</v>
          </cell>
        </row>
        <row r="188">
          <cell r="D188" t="str">
            <v>AT - Piloodid</v>
          </cell>
          <cell r="E188">
            <v>1</v>
          </cell>
          <cell r="F188">
            <v>212</v>
          </cell>
          <cell r="G188">
            <v>198</v>
          </cell>
          <cell r="H188">
            <v>227</v>
          </cell>
        </row>
        <row r="189">
          <cell r="D189" t="str">
            <v>AT - Piloodid</v>
          </cell>
          <cell r="E189">
            <v>2</v>
          </cell>
          <cell r="F189">
            <v>281</v>
          </cell>
          <cell r="G189">
            <v>262</v>
          </cell>
          <cell r="H189">
            <v>300</v>
          </cell>
        </row>
        <row r="190">
          <cell r="D190" t="str">
            <v>AT - Poliitika rakendamine</v>
          </cell>
          <cell r="E190">
            <v>1</v>
          </cell>
          <cell r="F190">
            <v>160</v>
          </cell>
          <cell r="G190">
            <v>150</v>
          </cell>
          <cell r="H190">
            <v>171</v>
          </cell>
        </row>
        <row r="191">
          <cell r="D191" t="str">
            <v>AT - Poliitika rakendamine</v>
          </cell>
          <cell r="E191">
            <v>2</v>
          </cell>
          <cell r="F191">
            <v>212</v>
          </cell>
          <cell r="G191">
            <v>198</v>
          </cell>
          <cell r="H191">
            <v>227</v>
          </cell>
        </row>
        <row r="192">
          <cell r="D192" t="str">
            <v>AT - Poliitika rakendamine</v>
          </cell>
          <cell r="E192">
            <v>3</v>
          </cell>
          <cell r="F192">
            <v>281</v>
          </cell>
          <cell r="G192">
            <v>262</v>
          </cell>
          <cell r="H192">
            <v>300</v>
          </cell>
        </row>
        <row r="193">
          <cell r="D193" t="str">
            <v>AT - Poliitika rakendamine</v>
          </cell>
          <cell r="E193">
            <v>4</v>
          </cell>
          <cell r="F193">
            <v>323</v>
          </cell>
          <cell r="G193">
            <v>301</v>
          </cell>
          <cell r="H193">
            <v>345</v>
          </cell>
        </row>
        <row r="194">
          <cell r="D194" t="str">
            <v>AT - Poliitika rakendamine</v>
          </cell>
          <cell r="E194">
            <v>5</v>
          </cell>
          <cell r="F194">
            <v>427</v>
          </cell>
          <cell r="G194">
            <v>398</v>
          </cell>
          <cell r="H194">
            <v>457</v>
          </cell>
        </row>
        <row r="195">
          <cell r="D195" t="str">
            <v>AT - Poliitika rakendamine</v>
          </cell>
          <cell r="E195">
            <v>6</v>
          </cell>
          <cell r="F195">
            <v>492</v>
          </cell>
          <cell r="G195">
            <v>458</v>
          </cell>
          <cell r="H195">
            <v>526</v>
          </cell>
        </row>
        <row r="196">
          <cell r="D196" t="str">
            <v>AT - Poliitika rakendamine</v>
          </cell>
          <cell r="E196">
            <v>7</v>
          </cell>
          <cell r="F196">
            <v>566</v>
          </cell>
          <cell r="G196">
            <v>527</v>
          </cell>
          <cell r="H196">
            <v>605</v>
          </cell>
        </row>
        <row r="197">
          <cell r="D197" t="str">
            <v>AT - Projektijuhtimine</v>
          </cell>
          <cell r="E197">
            <v>1</v>
          </cell>
          <cell r="F197">
            <v>160</v>
          </cell>
          <cell r="G197">
            <v>150</v>
          </cell>
          <cell r="H197">
            <v>171</v>
          </cell>
        </row>
        <row r="198">
          <cell r="D198" t="str">
            <v>AT - Projektijuhtimine</v>
          </cell>
          <cell r="E198">
            <v>2</v>
          </cell>
          <cell r="F198">
            <v>212</v>
          </cell>
          <cell r="G198">
            <v>198</v>
          </cell>
          <cell r="H198">
            <v>227</v>
          </cell>
        </row>
        <row r="199">
          <cell r="D199" t="str">
            <v>AT - Projektijuhtimine</v>
          </cell>
          <cell r="E199">
            <v>3</v>
          </cell>
          <cell r="F199">
            <v>323</v>
          </cell>
          <cell r="G199">
            <v>301</v>
          </cell>
          <cell r="H199">
            <v>345</v>
          </cell>
        </row>
        <row r="200">
          <cell r="D200" t="str">
            <v>AT - Projektijuhtimine</v>
          </cell>
          <cell r="E200">
            <v>4</v>
          </cell>
          <cell r="F200">
            <v>427</v>
          </cell>
          <cell r="G200">
            <v>398</v>
          </cell>
          <cell r="H200">
            <v>457</v>
          </cell>
        </row>
        <row r="201">
          <cell r="D201" t="str">
            <v>AT - Päästetööd</v>
          </cell>
          <cell r="E201">
            <v>1</v>
          </cell>
          <cell r="F201">
            <v>139</v>
          </cell>
          <cell r="G201">
            <v>130</v>
          </cell>
          <cell r="H201">
            <v>149</v>
          </cell>
        </row>
        <row r="202">
          <cell r="D202" t="str">
            <v>AT - Päästetööd</v>
          </cell>
          <cell r="E202">
            <v>2</v>
          </cell>
          <cell r="F202">
            <v>184</v>
          </cell>
          <cell r="G202">
            <v>172</v>
          </cell>
          <cell r="H202">
            <v>197</v>
          </cell>
        </row>
        <row r="203">
          <cell r="D203" t="str">
            <v>AT - Päästetööd</v>
          </cell>
          <cell r="E203">
            <v>3</v>
          </cell>
          <cell r="F203">
            <v>212</v>
          </cell>
          <cell r="G203">
            <v>198</v>
          </cell>
          <cell r="H203">
            <v>227</v>
          </cell>
        </row>
        <row r="204">
          <cell r="D204" t="str">
            <v>AT - Päästetööd</v>
          </cell>
          <cell r="E204">
            <v>4</v>
          </cell>
          <cell r="F204">
            <v>244</v>
          </cell>
          <cell r="G204">
            <v>228</v>
          </cell>
          <cell r="H204">
            <v>261</v>
          </cell>
        </row>
        <row r="205">
          <cell r="D205" t="str">
            <v>AT - Päästetööd</v>
          </cell>
          <cell r="E205">
            <v>5</v>
          </cell>
          <cell r="F205">
            <v>323</v>
          </cell>
          <cell r="G205">
            <v>301</v>
          </cell>
          <cell r="H205">
            <v>345</v>
          </cell>
        </row>
        <row r="206">
          <cell r="D206" t="str">
            <v>AT - Päästetööd</v>
          </cell>
          <cell r="E206">
            <v>6</v>
          </cell>
          <cell r="F206">
            <v>427</v>
          </cell>
          <cell r="G206">
            <v>398</v>
          </cell>
          <cell r="H206">
            <v>457</v>
          </cell>
        </row>
        <row r="207">
          <cell r="D207" t="str">
            <v>AT - Raamatukogu</v>
          </cell>
          <cell r="E207">
            <v>1</v>
          </cell>
          <cell r="F207">
            <v>121</v>
          </cell>
          <cell r="G207">
            <v>113</v>
          </cell>
          <cell r="H207">
            <v>129</v>
          </cell>
        </row>
        <row r="208">
          <cell r="D208" t="str">
            <v>AT - Raamatukogu</v>
          </cell>
          <cell r="E208">
            <v>2</v>
          </cell>
          <cell r="F208">
            <v>184</v>
          </cell>
          <cell r="G208">
            <v>172</v>
          </cell>
          <cell r="H208">
            <v>197</v>
          </cell>
        </row>
        <row r="209">
          <cell r="D209" t="str">
            <v>AT - Raamatukogu</v>
          </cell>
          <cell r="E209">
            <v>3</v>
          </cell>
          <cell r="F209">
            <v>244</v>
          </cell>
          <cell r="G209">
            <v>228</v>
          </cell>
          <cell r="H209">
            <v>261</v>
          </cell>
        </row>
        <row r="210">
          <cell r="D210" t="str">
            <v>AT - Raamatukogu</v>
          </cell>
          <cell r="E210">
            <v>4</v>
          </cell>
          <cell r="F210">
            <v>427</v>
          </cell>
          <cell r="G210">
            <v>398</v>
          </cell>
          <cell r="H210">
            <v>457</v>
          </cell>
        </row>
        <row r="211">
          <cell r="D211" t="str">
            <v>AT - Raamatupidamine</v>
          </cell>
          <cell r="E211">
            <v>1</v>
          </cell>
          <cell r="F211">
            <v>105</v>
          </cell>
          <cell r="G211">
            <v>98</v>
          </cell>
          <cell r="H211">
            <v>112</v>
          </cell>
        </row>
        <row r="212">
          <cell r="D212" t="str">
            <v>AT - Raamatupidamine</v>
          </cell>
          <cell r="E212">
            <v>2</v>
          </cell>
          <cell r="F212">
            <v>184</v>
          </cell>
          <cell r="G212">
            <v>172</v>
          </cell>
          <cell r="H212">
            <v>197</v>
          </cell>
        </row>
        <row r="213">
          <cell r="D213" t="str">
            <v>AT - Raamatupidamine</v>
          </cell>
          <cell r="E213">
            <v>3</v>
          </cell>
          <cell r="F213">
            <v>244</v>
          </cell>
          <cell r="G213">
            <v>228</v>
          </cell>
          <cell r="H213">
            <v>261</v>
          </cell>
        </row>
        <row r="214">
          <cell r="D214" t="str">
            <v>AT - Raamatupidamine</v>
          </cell>
          <cell r="E214">
            <v>4</v>
          </cell>
          <cell r="F214">
            <v>371</v>
          </cell>
          <cell r="G214">
            <v>346</v>
          </cell>
          <cell r="H214">
            <v>397</v>
          </cell>
        </row>
        <row r="215">
          <cell r="D215" t="str">
            <v>AT - Raamatupidamine</v>
          </cell>
          <cell r="E215">
            <v>5</v>
          </cell>
          <cell r="F215">
            <v>492</v>
          </cell>
          <cell r="G215">
            <v>458</v>
          </cell>
          <cell r="H215">
            <v>526</v>
          </cell>
        </row>
        <row r="216">
          <cell r="D216" t="str">
            <v>AT - Registripidamine</v>
          </cell>
          <cell r="E216">
            <v>1</v>
          </cell>
          <cell r="F216">
            <v>121</v>
          </cell>
          <cell r="G216">
            <v>113</v>
          </cell>
          <cell r="H216">
            <v>129</v>
          </cell>
        </row>
        <row r="217">
          <cell r="D217" t="str">
            <v>AT - Registripidamine</v>
          </cell>
          <cell r="E217">
            <v>2</v>
          </cell>
          <cell r="F217">
            <v>184</v>
          </cell>
          <cell r="G217">
            <v>172</v>
          </cell>
          <cell r="H217">
            <v>197</v>
          </cell>
        </row>
        <row r="218">
          <cell r="D218" t="str">
            <v>AT - Registripidamine</v>
          </cell>
          <cell r="E218">
            <v>3</v>
          </cell>
          <cell r="F218">
            <v>212</v>
          </cell>
          <cell r="G218">
            <v>198</v>
          </cell>
          <cell r="H218">
            <v>227</v>
          </cell>
        </row>
        <row r="219">
          <cell r="D219" t="str">
            <v>AT - Registripidamine</v>
          </cell>
          <cell r="E219">
            <v>4</v>
          </cell>
          <cell r="F219">
            <v>281</v>
          </cell>
          <cell r="G219">
            <v>262</v>
          </cell>
          <cell r="H219">
            <v>300</v>
          </cell>
        </row>
        <row r="220">
          <cell r="D220" t="str">
            <v>AT - Registripidamine</v>
          </cell>
          <cell r="E220">
            <v>5</v>
          </cell>
          <cell r="F220">
            <v>427</v>
          </cell>
          <cell r="G220">
            <v>398</v>
          </cell>
          <cell r="H220">
            <v>457</v>
          </cell>
        </row>
        <row r="221">
          <cell r="D221" t="str">
            <v>AT - Riigihange</v>
          </cell>
          <cell r="E221">
            <v>1</v>
          </cell>
          <cell r="F221">
            <v>121</v>
          </cell>
          <cell r="G221">
            <v>113</v>
          </cell>
          <cell r="H221">
            <v>129</v>
          </cell>
        </row>
        <row r="222">
          <cell r="D222" t="str">
            <v>AT - Riigihange</v>
          </cell>
          <cell r="E222">
            <v>2</v>
          </cell>
          <cell r="F222">
            <v>212</v>
          </cell>
          <cell r="G222">
            <v>198</v>
          </cell>
          <cell r="H222">
            <v>227</v>
          </cell>
        </row>
        <row r="223">
          <cell r="D223" t="str">
            <v>AT - Riigihange</v>
          </cell>
          <cell r="E223">
            <v>3</v>
          </cell>
          <cell r="F223">
            <v>281</v>
          </cell>
          <cell r="G223">
            <v>262</v>
          </cell>
          <cell r="H223">
            <v>300</v>
          </cell>
        </row>
        <row r="224">
          <cell r="D224" t="str">
            <v>AT - Riigihange</v>
          </cell>
          <cell r="E224" t="str">
            <v>4A</v>
          </cell>
          <cell r="F224">
            <v>323</v>
          </cell>
          <cell r="G224">
            <v>301</v>
          </cell>
          <cell r="H224">
            <v>345</v>
          </cell>
        </row>
        <row r="225">
          <cell r="D225" t="str">
            <v>AT - Riigihange</v>
          </cell>
          <cell r="E225" t="str">
            <v>4B</v>
          </cell>
          <cell r="F225">
            <v>323</v>
          </cell>
          <cell r="G225">
            <v>301</v>
          </cell>
          <cell r="H225">
            <v>345</v>
          </cell>
        </row>
        <row r="226">
          <cell r="D226" t="str">
            <v>AT - Riigihange</v>
          </cell>
          <cell r="E226">
            <v>5</v>
          </cell>
          <cell r="F226">
            <v>427</v>
          </cell>
          <cell r="G226">
            <v>398</v>
          </cell>
          <cell r="H226">
            <v>457</v>
          </cell>
        </row>
        <row r="227">
          <cell r="D227" t="str">
            <v>AT - Riigikaitse</v>
          </cell>
          <cell r="E227" t="str">
            <v>1A</v>
          </cell>
          <cell r="F227">
            <v>105</v>
          </cell>
          <cell r="G227">
            <v>98</v>
          </cell>
          <cell r="H227">
            <v>112</v>
          </cell>
        </row>
        <row r="228">
          <cell r="D228" t="str">
            <v>AT - Riigikaitse</v>
          </cell>
          <cell r="E228" t="str">
            <v>1B</v>
          </cell>
          <cell r="F228">
            <v>121</v>
          </cell>
          <cell r="G228">
            <v>113</v>
          </cell>
          <cell r="H228">
            <v>129</v>
          </cell>
        </row>
        <row r="229">
          <cell r="D229" t="str">
            <v>AT - Riigikaitse</v>
          </cell>
          <cell r="E229">
            <v>2</v>
          </cell>
          <cell r="F229">
            <v>139</v>
          </cell>
          <cell r="G229">
            <v>130</v>
          </cell>
          <cell r="H229">
            <v>149</v>
          </cell>
        </row>
        <row r="230">
          <cell r="D230" t="str">
            <v>AT - Riigikaitse</v>
          </cell>
          <cell r="E230" t="str">
            <v>3A</v>
          </cell>
          <cell r="F230">
            <v>184</v>
          </cell>
          <cell r="G230">
            <v>172</v>
          </cell>
          <cell r="H230">
            <v>197</v>
          </cell>
        </row>
        <row r="231">
          <cell r="D231" t="str">
            <v>AT - Riigikaitse</v>
          </cell>
          <cell r="E231" t="str">
            <v>3B</v>
          </cell>
          <cell r="F231">
            <v>212</v>
          </cell>
          <cell r="G231">
            <v>198</v>
          </cell>
          <cell r="H231">
            <v>227</v>
          </cell>
        </row>
        <row r="232">
          <cell r="D232" t="str">
            <v>AT - Riigikaitse</v>
          </cell>
          <cell r="E232">
            <v>4</v>
          </cell>
          <cell r="F232">
            <v>281</v>
          </cell>
          <cell r="G232">
            <v>262</v>
          </cell>
          <cell r="H232">
            <v>300</v>
          </cell>
        </row>
        <row r="233">
          <cell r="D233" t="str">
            <v>AT - Riigikaitse</v>
          </cell>
          <cell r="E233" t="str">
            <v>5A</v>
          </cell>
          <cell r="F233">
            <v>371</v>
          </cell>
          <cell r="G233">
            <v>346</v>
          </cell>
          <cell r="H233">
            <v>397</v>
          </cell>
        </row>
        <row r="234">
          <cell r="D234" t="str">
            <v>AT - Riigikaitse</v>
          </cell>
          <cell r="E234" t="str">
            <v>5B</v>
          </cell>
          <cell r="F234">
            <v>492</v>
          </cell>
          <cell r="G234">
            <v>458</v>
          </cell>
          <cell r="H234">
            <v>526</v>
          </cell>
        </row>
        <row r="235">
          <cell r="D235" t="str">
            <v>AT - Riigikaitse</v>
          </cell>
          <cell r="E235">
            <v>6</v>
          </cell>
          <cell r="F235">
            <v>566</v>
          </cell>
          <cell r="G235">
            <v>527</v>
          </cell>
          <cell r="H235">
            <v>605</v>
          </cell>
        </row>
        <row r="236">
          <cell r="D236" t="str">
            <v>AT - Riigikaitse</v>
          </cell>
          <cell r="E236">
            <v>7</v>
          </cell>
          <cell r="F236">
            <v>651</v>
          </cell>
          <cell r="G236">
            <v>606</v>
          </cell>
          <cell r="H236">
            <v>696</v>
          </cell>
        </row>
        <row r="237">
          <cell r="D237" t="str">
            <v>AT - Riigikaitse</v>
          </cell>
          <cell r="E237">
            <v>8</v>
          </cell>
          <cell r="F237">
            <v>995</v>
          </cell>
          <cell r="G237">
            <v>926</v>
          </cell>
          <cell r="H237">
            <v>1066</v>
          </cell>
        </row>
        <row r="238">
          <cell r="D238" t="str">
            <v>AT - Riigivara haldamine ja sisseost</v>
          </cell>
          <cell r="E238">
            <v>1</v>
          </cell>
          <cell r="F238">
            <v>79</v>
          </cell>
          <cell r="G238">
            <v>74</v>
          </cell>
          <cell r="H238">
            <v>84</v>
          </cell>
        </row>
        <row r="239">
          <cell r="D239" t="str">
            <v>AT - Riigivara haldamine ja sisseost</v>
          </cell>
          <cell r="E239">
            <v>2</v>
          </cell>
          <cell r="F239">
            <v>121</v>
          </cell>
          <cell r="G239">
            <v>113</v>
          </cell>
          <cell r="H239">
            <v>129</v>
          </cell>
        </row>
        <row r="240">
          <cell r="D240" t="str">
            <v>AT - Riigivara haldamine ja sisseost</v>
          </cell>
          <cell r="E240">
            <v>3</v>
          </cell>
          <cell r="F240">
            <v>160</v>
          </cell>
          <cell r="G240">
            <v>150</v>
          </cell>
          <cell r="H240">
            <v>171</v>
          </cell>
        </row>
        <row r="241">
          <cell r="D241" t="str">
            <v>AT - Riigivara haldamine ja sisseost</v>
          </cell>
          <cell r="E241">
            <v>4</v>
          </cell>
          <cell r="F241">
            <v>244</v>
          </cell>
          <cell r="G241">
            <v>228</v>
          </cell>
          <cell r="H241">
            <v>261</v>
          </cell>
        </row>
        <row r="242">
          <cell r="D242" t="str">
            <v>AT - Riigivara haldamine ja sisseost</v>
          </cell>
          <cell r="E242" t="str">
            <v>5A</v>
          </cell>
          <cell r="F242">
            <v>281</v>
          </cell>
          <cell r="G242">
            <v>262</v>
          </cell>
          <cell r="H242">
            <v>300</v>
          </cell>
        </row>
        <row r="243">
          <cell r="D243" t="str">
            <v>AT - Riigivara haldamine ja sisseost</v>
          </cell>
          <cell r="E243" t="str">
            <v>5B</v>
          </cell>
          <cell r="F243">
            <v>281</v>
          </cell>
          <cell r="G243">
            <v>262</v>
          </cell>
          <cell r="H243">
            <v>300</v>
          </cell>
        </row>
        <row r="244">
          <cell r="D244" t="str">
            <v>AT - Riigivara haldamine ja sisseost</v>
          </cell>
          <cell r="E244">
            <v>6</v>
          </cell>
          <cell r="F244">
            <v>492</v>
          </cell>
          <cell r="G244">
            <v>458</v>
          </cell>
          <cell r="H244">
            <v>526</v>
          </cell>
        </row>
        <row r="245">
          <cell r="D245" t="str">
            <v>AT - Sadama kapten</v>
          </cell>
          <cell r="E245">
            <v>1</v>
          </cell>
          <cell r="F245">
            <v>212</v>
          </cell>
          <cell r="G245">
            <v>198</v>
          </cell>
          <cell r="H245">
            <v>227</v>
          </cell>
        </row>
        <row r="246">
          <cell r="D246" t="str">
            <v>AT - Sadama kapten</v>
          </cell>
          <cell r="E246">
            <v>2</v>
          </cell>
          <cell r="F246">
            <v>323</v>
          </cell>
          <cell r="G246">
            <v>301</v>
          </cell>
          <cell r="H246">
            <v>345</v>
          </cell>
        </row>
        <row r="247">
          <cell r="D247" t="str">
            <v>AT - Sekretäritööd</v>
          </cell>
          <cell r="E247">
            <v>1</v>
          </cell>
          <cell r="F247">
            <v>105</v>
          </cell>
          <cell r="G247">
            <v>98</v>
          </cell>
          <cell r="H247">
            <v>112</v>
          </cell>
        </row>
        <row r="248">
          <cell r="D248" t="str">
            <v>AT - Sekretäritööd</v>
          </cell>
          <cell r="E248">
            <v>2</v>
          </cell>
          <cell r="F248">
            <v>139</v>
          </cell>
          <cell r="G248">
            <v>130</v>
          </cell>
          <cell r="H248">
            <v>149</v>
          </cell>
        </row>
        <row r="249">
          <cell r="D249" t="str">
            <v>AT - Sekretäritööd</v>
          </cell>
          <cell r="E249">
            <v>3</v>
          </cell>
          <cell r="F249">
            <v>184</v>
          </cell>
          <cell r="G249">
            <v>172</v>
          </cell>
          <cell r="H249">
            <v>197</v>
          </cell>
        </row>
        <row r="250">
          <cell r="D250" t="str">
            <v>AT - Sekretäritööd</v>
          </cell>
          <cell r="E250">
            <v>4</v>
          </cell>
          <cell r="F250">
            <v>281</v>
          </cell>
          <cell r="G250">
            <v>262</v>
          </cell>
          <cell r="H250">
            <v>300</v>
          </cell>
        </row>
        <row r="251">
          <cell r="D251" t="str">
            <v>AT - Sisekontroll</v>
          </cell>
          <cell r="E251">
            <v>1</v>
          </cell>
          <cell r="F251">
            <v>139</v>
          </cell>
          <cell r="G251">
            <v>130</v>
          </cell>
          <cell r="H251">
            <v>149</v>
          </cell>
        </row>
        <row r="252">
          <cell r="D252" t="str">
            <v>AT - Sisekontroll</v>
          </cell>
          <cell r="E252">
            <v>2</v>
          </cell>
          <cell r="F252">
            <v>184</v>
          </cell>
          <cell r="G252">
            <v>172</v>
          </cell>
          <cell r="H252">
            <v>197</v>
          </cell>
        </row>
        <row r="253">
          <cell r="D253" t="str">
            <v>AT - Sisekontroll</v>
          </cell>
          <cell r="E253">
            <v>3</v>
          </cell>
          <cell r="F253">
            <v>281</v>
          </cell>
          <cell r="G253">
            <v>262</v>
          </cell>
          <cell r="H253">
            <v>300</v>
          </cell>
        </row>
        <row r="254">
          <cell r="D254" t="str">
            <v>AT - Sisekontroll</v>
          </cell>
          <cell r="E254">
            <v>4</v>
          </cell>
          <cell r="F254">
            <v>427</v>
          </cell>
          <cell r="G254">
            <v>398</v>
          </cell>
          <cell r="H254">
            <v>457</v>
          </cell>
        </row>
        <row r="255">
          <cell r="D255" t="str">
            <v>AT - Sotsiaalhoolekanne</v>
          </cell>
          <cell r="E255" t="str">
            <v>1A</v>
          </cell>
          <cell r="F255">
            <v>212</v>
          </cell>
          <cell r="G255">
            <v>198</v>
          </cell>
          <cell r="H255">
            <v>227</v>
          </cell>
        </row>
        <row r="256">
          <cell r="D256" t="str">
            <v>AT - Sotsiaalhoolekanne</v>
          </cell>
          <cell r="E256" t="str">
            <v>1B</v>
          </cell>
          <cell r="F256">
            <v>212</v>
          </cell>
          <cell r="G256">
            <v>198</v>
          </cell>
          <cell r="H256">
            <v>227</v>
          </cell>
        </row>
        <row r="257">
          <cell r="D257" t="str">
            <v>AT - Sotsiaalhoolekanne</v>
          </cell>
          <cell r="E257" t="str">
            <v>2A</v>
          </cell>
          <cell r="F257">
            <v>281</v>
          </cell>
          <cell r="G257">
            <v>262</v>
          </cell>
          <cell r="H257">
            <v>300</v>
          </cell>
        </row>
        <row r="258">
          <cell r="D258" t="str">
            <v>AT - Sotsiaalhoolekanne</v>
          </cell>
          <cell r="E258" t="str">
            <v>2B</v>
          </cell>
          <cell r="F258">
            <v>281</v>
          </cell>
          <cell r="G258">
            <v>262</v>
          </cell>
          <cell r="H258">
            <v>300</v>
          </cell>
        </row>
        <row r="259">
          <cell r="D259" t="str">
            <v>AT - Sotsiaalhoolekanne</v>
          </cell>
          <cell r="E259" t="str">
            <v>3A</v>
          </cell>
          <cell r="F259">
            <v>371</v>
          </cell>
          <cell r="G259">
            <v>346</v>
          </cell>
          <cell r="H259">
            <v>397</v>
          </cell>
        </row>
        <row r="260">
          <cell r="D260" t="str">
            <v>AT - Sotsiaalhoolekanne</v>
          </cell>
          <cell r="E260" t="str">
            <v>3B</v>
          </cell>
          <cell r="F260">
            <v>371</v>
          </cell>
          <cell r="G260">
            <v>346</v>
          </cell>
          <cell r="H260">
            <v>397</v>
          </cell>
        </row>
        <row r="261">
          <cell r="D261" t="str">
            <v>AT - Sotsiaalhoolekanne</v>
          </cell>
          <cell r="E261">
            <v>4</v>
          </cell>
          <cell r="F261">
            <v>427</v>
          </cell>
          <cell r="G261">
            <v>398</v>
          </cell>
          <cell r="H261">
            <v>457</v>
          </cell>
        </row>
        <row r="262">
          <cell r="D262" t="str">
            <v>AT - Sõidukijuhid</v>
          </cell>
          <cell r="E262">
            <v>1</v>
          </cell>
          <cell r="F262">
            <v>91</v>
          </cell>
          <cell r="G262">
            <v>85</v>
          </cell>
          <cell r="H262">
            <v>97</v>
          </cell>
        </row>
        <row r="263">
          <cell r="D263" t="str">
            <v>AT - Sõidukijuhid</v>
          </cell>
          <cell r="E263">
            <v>2</v>
          </cell>
          <cell r="F263">
            <v>121</v>
          </cell>
          <cell r="G263">
            <v>113</v>
          </cell>
          <cell r="H263">
            <v>129</v>
          </cell>
        </row>
        <row r="264">
          <cell r="D264" t="str">
            <v>AT - Sõidukijuhid</v>
          </cell>
          <cell r="E264">
            <v>3</v>
          </cell>
          <cell r="F264">
            <v>139</v>
          </cell>
          <cell r="G264">
            <v>130</v>
          </cell>
          <cell r="H264">
            <v>149</v>
          </cell>
        </row>
        <row r="265">
          <cell r="D265" t="str">
            <v>AT - Sõidukijuhid</v>
          </cell>
          <cell r="E265">
            <v>4</v>
          </cell>
          <cell r="F265">
            <v>160</v>
          </cell>
          <cell r="G265">
            <v>150</v>
          </cell>
          <cell r="H265">
            <v>171</v>
          </cell>
        </row>
        <row r="266">
          <cell r="D266" t="str">
            <v>AT - Toimetamine ja keeleline korrektuur</v>
          </cell>
          <cell r="E266">
            <v>1</v>
          </cell>
          <cell r="F266">
            <v>160</v>
          </cell>
          <cell r="G266">
            <v>150</v>
          </cell>
          <cell r="H266">
            <v>171</v>
          </cell>
        </row>
        <row r="267">
          <cell r="D267" t="str">
            <v>AT - Toimetamine ja keeleline korrektuur</v>
          </cell>
          <cell r="E267">
            <v>2</v>
          </cell>
          <cell r="F267">
            <v>212</v>
          </cell>
          <cell r="G267">
            <v>198</v>
          </cell>
          <cell r="H267">
            <v>227</v>
          </cell>
        </row>
        <row r="268">
          <cell r="D268" t="str">
            <v>AT - Tõlkimine</v>
          </cell>
          <cell r="E268">
            <v>1</v>
          </cell>
          <cell r="F268">
            <v>160</v>
          </cell>
          <cell r="G268">
            <v>150</v>
          </cell>
          <cell r="H268">
            <v>171</v>
          </cell>
        </row>
        <row r="269">
          <cell r="D269" t="str">
            <v>AT - Tõlkimine</v>
          </cell>
          <cell r="E269">
            <v>2</v>
          </cell>
          <cell r="F269">
            <v>212</v>
          </cell>
          <cell r="G269">
            <v>198</v>
          </cell>
          <cell r="H269">
            <v>227</v>
          </cell>
        </row>
        <row r="270">
          <cell r="D270" t="str">
            <v>AT - Tõlkimine</v>
          </cell>
          <cell r="E270">
            <v>3</v>
          </cell>
          <cell r="F270">
            <v>323</v>
          </cell>
          <cell r="G270">
            <v>301</v>
          </cell>
          <cell r="H270">
            <v>345</v>
          </cell>
        </row>
        <row r="271">
          <cell r="D271" t="str">
            <v>AT - Tõlkimine</v>
          </cell>
          <cell r="E271">
            <v>4</v>
          </cell>
          <cell r="F271">
            <v>371</v>
          </cell>
          <cell r="G271">
            <v>346</v>
          </cell>
          <cell r="H271">
            <v>397</v>
          </cell>
        </row>
        <row r="272">
          <cell r="D272" t="str">
            <v>AT - Uuriv järelevalve</v>
          </cell>
          <cell r="E272">
            <v>1</v>
          </cell>
          <cell r="F272">
            <v>160</v>
          </cell>
          <cell r="G272">
            <v>150</v>
          </cell>
          <cell r="H272">
            <v>171</v>
          </cell>
        </row>
        <row r="273">
          <cell r="D273" t="str">
            <v>AT - Uuriv järelevalve</v>
          </cell>
          <cell r="E273">
            <v>2</v>
          </cell>
          <cell r="F273">
            <v>184</v>
          </cell>
          <cell r="G273">
            <v>172</v>
          </cell>
          <cell r="H273">
            <v>197</v>
          </cell>
        </row>
        <row r="274">
          <cell r="D274" t="str">
            <v>AT - Uuriv järelevalve</v>
          </cell>
          <cell r="E274">
            <v>3</v>
          </cell>
          <cell r="F274">
            <v>244</v>
          </cell>
          <cell r="G274">
            <v>228</v>
          </cell>
          <cell r="H274">
            <v>261</v>
          </cell>
        </row>
        <row r="275">
          <cell r="D275" t="str">
            <v>AT - Uuriv järelevalve</v>
          </cell>
          <cell r="E275">
            <v>4</v>
          </cell>
          <cell r="F275">
            <v>323</v>
          </cell>
          <cell r="G275">
            <v>301</v>
          </cell>
          <cell r="H275">
            <v>345</v>
          </cell>
        </row>
        <row r="276">
          <cell r="D276" t="str">
            <v>AT - Uuriv järelevalve</v>
          </cell>
          <cell r="E276">
            <v>5</v>
          </cell>
          <cell r="F276">
            <v>371</v>
          </cell>
          <cell r="G276">
            <v>346</v>
          </cell>
          <cell r="H276">
            <v>397</v>
          </cell>
        </row>
        <row r="277">
          <cell r="D277" t="str">
            <v>AT - Uuriv järelevalve</v>
          </cell>
          <cell r="E277">
            <v>6</v>
          </cell>
          <cell r="F277">
            <v>492</v>
          </cell>
          <cell r="G277">
            <v>458</v>
          </cell>
          <cell r="H277">
            <v>526</v>
          </cell>
        </row>
        <row r="278">
          <cell r="D278" t="str">
            <v>AT - Võrguväljaannetes teabe avaldamine</v>
          </cell>
          <cell r="E278">
            <v>1</v>
          </cell>
          <cell r="F278">
            <v>121</v>
          </cell>
          <cell r="G278">
            <v>113</v>
          </cell>
          <cell r="H278">
            <v>129</v>
          </cell>
        </row>
        <row r="279">
          <cell r="D279" t="str">
            <v>AT - Võrguväljaannetes teabe avaldamine</v>
          </cell>
          <cell r="E279">
            <v>2</v>
          </cell>
          <cell r="F279">
            <v>184</v>
          </cell>
          <cell r="G279">
            <v>172</v>
          </cell>
          <cell r="H279">
            <v>197</v>
          </cell>
        </row>
        <row r="280">
          <cell r="D280" t="str">
            <v>AT - Võrguväljaannetes teabe avaldamine</v>
          </cell>
          <cell r="E280">
            <v>3</v>
          </cell>
          <cell r="F280">
            <v>212</v>
          </cell>
          <cell r="G280">
            <v>198</v>
          </cell>
          <cell r="H280">
            <v>227</v>
          </cell>
        </row>
        <row r="281">
          <cell r="D281" t="str">
            <v>AT - Võrguväljaannetes teabe avaldamine</v>
          </cell>
          <cell r="E281">
            <v>4</v>
          </cell>
          <cell r="F281">
            <v>281</v>
          </cell>
          <cell r="G281">
            <v>262</v>
          </cell>
          <cell r="H281">
            <v>300</v>
          </cell>
        </row>
        <row r="282">
          <cell r="D282" t="str">
            <v>AT - Õigusemõistmine</v>
          </cell>
          <cell r="E282">
            <v>1</v>
          </cell>
          <cell r="F282">
            <v>139</v>
          </cell>
          <cell r="G282">
            <v>130</v>
          </cell>
          <cell r="H282">
            <v>149</v>
          </cell>
        </row>
        <row r="283">
          <cell r="D283" t="str">
            <v>AT - Õigusemõistmine</v>
          </cell>
          <cell r="E283">
            <v>2</v>
          </cell>
          <cell r="F283">
            <v>160</v>
          </cell>
          <cell r="G283">
            <v>150</v>
          </cell>
          <cell r="H283">
            <v>171</v>
          </cell>
        </row>
        <row r="284">
          <cell r="D284" t="str">
            <v>AT - Õigusemõistmine</v>
          </cell>
          <cell r="E284" t="str">
            <v>3A</v>
          </cell>
          <cell r="F284">
            <v>244</v>
          </cell>
          <cell r="G284">
            <v>228</v>
          </cell>
          <cell r="H284">
            <v>261</v>
          </cell>
        </row>
        <row r="285">
          <cell r="D285" t="str">
            <v>AT - Õigusemõistmine</v>
          </cell>
          <cell r="E285" t="str">
            <v>3B</v>
          </cell>
          <cell r="F285">
            <v>281</v>
          </cell>
          <cell r="G285">
            <v>262</v>
          </cell>
          <cell r="H285">
            <v>300</v>
          </cell>
        </row>
        <row r="286">
          <cell r="D286" t="str">
            <v>AT - Õigusemõistmine</v>
          </cell>
          <cell r="E286" t="str">
            <v>3C</v>
          </cell>
          <cell r="F286">
            <v>323</v>
          </cell>
          <cell r="G286">
            <v>301</v>
          </cell>
          <cell r="H286">
            <v>345</v>
          </cell>
        </row>
        <row r="287">
          <cell r="D287" t="str">
            <v>AT - Õigusemõistmine</v>
          </cell>
          <cell r="E287" t="str">
            <v>4A</v>
          </cell>
          <cell r="F287">
            <v>371</v>
          </cell>
          <cell r="G287">
            <v>346</v>
          </cell>
          <cell r="H287">
            <v>397</v>
          </cell>
        </row>
        <row r="288">
          <cell r="D288" t="str">
            <v>AT - Õigusemõistmine</v>
          </cell>
          <cell r="E288" t="str">
            <v>4B</v>
          </cell>
          <cell r="F288">
            <v>427</v>
          </cell>
          <cell r="G288">
            <v>398</v>
          </cell>
          <cell r="H288">
            <v>457</v>
          </cell>
        </row>
        <row r="289">
          <cell r="D289" t="str">
            <v>AT - Õigusemõistmine</v>
          </cell>
          <cell r="E289">
            <v>5</v>
          </cell>
          <cell r="F289">
            <v>566</v>
          </cell>
          <cell r="G289">
            <v>527</v>
          </cell>
          <cell r="H289">
            <v>605</v>
          </cell>
        </row>
        <row r="290">
          <cell r="D290" t="str">
            <v>AT - Õigusloome</v>
          </cell>
          <cell r="E290">
            <v>1</v>
          </cell>
          <cell r="F290">
            <v>184</v>
          </cell>
          <cell r="G290">
            <v>172</v>
          </cell>
          <cell r="H290">
            <v>197</v>
          </cell>
        </row>
        <row r="291">
          <cell r="D291" t="str">
            <v>AT - Õigusloome</v>
          </cell>
          <cell r="E291">
            <v>2</v>
          </cell>
          <cell r="F291">
            <v>244</v>
          </cell>
          <cell r="G291">
            <v>228</v>
          </cell>
          <cell r="H291">
            <v>261</v>
          </cell>
        </row>
        <row r="292">
          <cell r="D292" t="str">
            <v>AT - Õigusloome</v>
          </cell>
          <cell r="E292">
            <v>3</v>
          </cell>
          <cell r="F292">
            <v>323</v>
          </cell>
          <cell r="G292">
            <v>301</v>
          </cell>
          <cell r="H292">
            <v>345</v>
          </cell>
        </row>
        <row r="293">
          <cell r="D293" t="str">
            <v>AT - Õigusloome</v>
          </cell>
          <cell r="E293">
            <v>4</v>
          </cell>
          <cell r="F293">
            <v>492</v>
          </cell>
          <cell r="G293">
            <v>458</v>
          </cell>
          <cell r="H293">
            <v>526</v>
          </cell>
        </row>
        <row r="294">
          <cell r="D294" t="str">
            <v>AT - Õigusteenused</v>
          </cell>
          <cell r="E294">
            <v>1</v>
          </cell>
          <cell r="F294">
            <v>160</v>
          </cell>
          <cell r="G294">
            <v>150</v>
          </cell>
          <cell r="H294">
            <v>171</v>
          </cell>
        </row>
        <row r="295">
          <cell r="D295" t="str">
            <v>AT - Õigusteenused</v>
          </cell>
          <cell r="E295">
            <v>2</v>
          </cell>
          <cell r="F295">
            <v>244</v>
          </cell>
          <cell r="G295">
            <v>228</v>
          </cell>
          <cell r="H295">
            <v>261</v>
          </cell>
        </row>
        <row r="296">
          <cell r="D296" t="str">
            <v>AT - Õigusteenused</v>
          </cell>
          <cell r="E296">
            <v>3</v>
          </cell>
          <cell r="F296">
            <v>323</v>
          </cell>
          <cell r="G296">
            <v>301</v>
          </cell>
          <cell r="H296">
            <v>345</v>
          </cell>
        </row>
        <row r="297">
          <cell r="D297" t="str">
            <v>AT - Õigusteenused</v>
          </cell>
          <cell r="E297">
            <v>4</v>
          </cell>
          <cell r="F297">
            <v>427</v>
          </cell>
          <cell r="G297">
            <v>398</v>
          </cell>
          <cell r="H297">
            <v>457</v>
          </cell>
        </row>
        <row r="298">
          <cell r="D298" t="str">
            <v>AT - Õigusteenused</v>
          </cell>
          <cell r="E298">
            <v>5</v>
          </cell>
          <cell r="F298">
            <v>566</v>
          </cell>
          <cell r="G298">
            <v>527</v>
          </cell>
          <cell r="H298">
            <v>605</v>
          </cell>
        </row>
        <row r="299">
          <cell r="D299" t="str">
            <v>AT - Üldjuhtimine</v>
          </cell>
          <cell r="E299">
            <v>1</v>
          </cell>
          <cell r="F299">
            <v>244</v>
          </cell>
          <cell r="G299">
            <v>228</v>
          </cell>
          <cell r="H299">
            <v>261</v>
          </cell>
        </row>
        <row r="300">
          <cell r="D300" t="str">
            <v>AT - Üldjuhtimine</v>
          </cell>
          <cell r="E300">
            <v>2</v>
          </cell>
          <cell r="F300">
            <v>323</v>
          </cell>
          <cell r="G300">
            <v>301</v>
          </cell>
          <cell r="H300">
            <v>345</v>
          </cell>
        </row>
        <row r="301">
          <cell r="D301" t="str">
            <v>AT - Üldjuhtimine</v>
          </cell>
          <cell r="E301">
            <v>3</v>
          </cell>
          <cell r="F301">
            <v>427</v>
          </cell>
          <cell r="G301">
            <v>398</v>
          </cell>
          <cell r="H301">
            <v>457</v>
          </cell>
        </row>
        <row r="302">
          <cell r="D302" t="str">
            <v>AT - Üldjuhtimine</v>
          </cell>
          <cell r="E302">
            <v>4</v>
          </cell>
          <cell r="F302">
            <v>492</v>
          </cell>
          <cell r="G302">
            <v>458</v>
          </cell>
          <cell r="H302">
            <v>526</v>
          </cell>
        </row>
        <row r="303">
          <cell r="D303" t="str">
            <v>AT - Üldjuhtimine</v>
          </cell>
          <cell r="E303">
            <v>5</v>
          </cell>
          <cell r="F303">
            <v>566</v>
          </cell>
          <cell r="G303">
            <v>527</v>
          </cell>
          <cell r="H303">
            <v>605</v>
          </cell>
        </row>
        <row r="304">
          <cell r="D304" t="str">
            <v>AT - Üldjuhtimine</v>
          </cell>
          <cell r="E304">
            <v>6</v>
          </cell>
          <cell r="F304">
            <v>651</v>
          </cell>
          <cell r="G304">
            <v>606</v>
          </cell>
          <cell r="H304">
            <v>696</v>
          </cell>
        </row>
        <row r="305">
          <cell r="D305" t="str">
            <v>AT - Üldjuhtimine</v>
          </cell>
          <cell r="E305" t="str">
            <v>7A</v>
          </cell>
          <cell r="F305">
            <v>864</v>
          </cell>
          <cell r="G305">
            <v>804</v>
          </cell>
          <cell r="H305">
            <v>925</v>
          </cell>
        </row>
        <row r="306">
          <cell r="D306" t="str">
            <v>AT - Üldjuhtimine</v>
          </cell>
          <cell r="E306" t="str">
            <v>7B</v>
          </cell>
          <cell r="F306">
            <v>995</v>
          </cell>
          <cell r="G306">
            <v>926</v>
          </cell>
          <cell r="H306">
            <v>1066</v>
          </cell>
        </row>
        <row r="307">
          <cell r="D307" t="str">
            <v>AT - Üldtööd</v>
          </cell>
          <cell r="E307">
            <v>1</v>
          </cell>
          <cell r="F307">
            <v>79</v>
          </cell>
          <cell r="G307">
            <v>74</v>
          </cell>
          <cell r="H307">
            <v>84</v>
          </cell>
        </row>
        <row r="308">
          <cell r="D308" t="str">
            <v>AT - Üldtööd</v>
          </cell>
          <cell r="E308">
            <v>2</v>
          </cell>
          <cell r="F308">
            <v>121</v>
          </cell>
          <cell r="G308">
            <v>113</v>
          </cell>
          <cell r="H308">
            <v>129</v>
          </cell>
        </row>
        <row r="309">
          <cell r="D309" t="str">
            <v>AT - Üldtööd</v>
          </cell>
          <cell r="E309">
            <v>3</v>
          </cell>
          <cell r="F309">
            <v>160</v>
          </cell>
          <cell r="G309">
            <v>150</v>
          </cell>
          <cell r="H309">
            <v>171</v>
          </cell>
        </row>
        <row r="310">
          <cell r="D310" t="str">
            <v>AT - Üldtööd</v>
          </cell>
          <cell r="E310">
            <v>4</v>
          </cell>
          <cell r="F310">
            <v>244</v>
          </cell>
          <cell r="G310">
            <v>228</v>
          </cell>
          <cell r="H310">
            <v>261</v>
          </cell>
        </row>
        <row r="311">
          <cell r="D311" t="str">
            <v>AT - Üldtööd</v>
          </cell>
          <cell r="E311">
            <v>5</v>
          </cell>
          <cell r="F311">
            <v>323</v>
          </cell>
          <cell r="G311">
            <v>301</v>
          </cell>
          <cell r="H311">
            <v>345</v>
          </cell>
        </row>
        <row r="312">
          <cell r="D312" t="str">
            <v>AT - Üldtööd</v>
          </cell>
          <cell r="E312">
            <v>6</v>
          </cell>
          <cell r="F312">
            <v>427</v>
          </cell>
          <cell r="G312">
            <v>398</v>
          </cell>
          <cell r="H312">
            <v>457</v>
          </cell>
        </row>
        <row r="313">
          <cell r="D313" t="str">
            <v>AT - Ürituste ja tseremooniate korraldamine</v>
          </cell>
          <cell r="E313">
            <v>1</v>
          </cell>
          <cell r="F313">
            <v>105</v>
          </cell>
          <cell r="G313">
            <v>98</v>
          </cell>
          <cell r="H313">
            <v>112</v>
          </cell>
        </row>
        <row r="314">
          <cell r="D314" t="str">
            <v>AT - Ürituste ja tseremooniate korraldamine</v>
          </cell>
          <cell r="E314">
            <v>2</v>
          </cell>
          <cell r="F314">
            <v>139</v>
          </cell>
          <cell r="G314">
            <v>130</v>
          </cell>
          <cell r="H314">
            <v>149</v>
          </cell>
        </row>
        <row r="315">
          <cell r="D315" t="str">
            <v>AT - Ürituste ja tseremooniate korraldamine</v>
          </cell>
          <cell r="E315">
            <v>3</v>
          </cell>
          <cell r="F315">
            <v>184</v>
          </cell>
          <cell r="G315">
            <v>172</v>
          </cell>
          <cell r="H315">
            <v>197</v>
          </cell>
        </row>
        <row r="316">
          <cell r="D316" t="str">
            <v>AT - Ürituste ja tseremooniate korraldamine</v>
          </cell>
          <cell r="E316">
            <v>4</v>
          </cell>
          <cell r="F316">
            <v>244</v>
          </cell>
          <cell r="G316">
            <v>228</v>
          </cell>
          <cell r="H316">
            <v>261</v>
          </cell>
        </row>
        <row r="317">
          <cell r="D317" t="str">
            <v>AT - Ürituste ja tseremooniate korraldamine</v>
          </cell>
          <cell r="E317">
            <v>5</v>
          </cell>
          <cell r="F317">
            <v>427</v>
          </cell>
          <cell r="G317">
            <v>398</v>
          </cell>
          <cell r="H317">
            <v>457</v>
          </cell>
        </row>
        <row r="318">
          <cell r="D318">
            <v>0</v>
          </cell>
          <cell r="E318">
            <v>0</v>
          </cell>
        </row>
        <row r="319">
          <cell r="D319">
            <v>0</v>
          </cell>
          <cell r="E319">
            <v>0</v>
          </cell>
        </row>
        <row r="320">
          <cell r="D320">
            <v>0</v>
          </cell>
          <cell r="E320">
            <v>0</v>
          </cell>
        </row>
        <row r="321">
          <cell r="D321">
            <v>0</v>
          </cell>
          <cell r="E321">
            <v>0</v>
          </cell>
        </row>
        <row r="322">
          <cell r="D322">
            <v>0</v>
          </cell>
          <cell r="E322">
            <v>0</v>
          </cell>
        </row>
        <row r="323">
          <cell r="D323">
            <v>0</v>
          </cell>
          <cell r="E323">
            <v>0</v>
          </cell>
        </row>
        <row r="324">
          <cell r="D324">
            <v>0</v>
          </cell>
          <cell r="E324">
            <v>0</v>
          </cell>
        </row>
        <row r="325">
          <cell r="D325">
            <v>0</v>
          </cell>
          <cell r="E325">
            <v>0</v>
          </cell>
        </row>
        <row r="326">
          <cell r="D326">
            <v>0</v>
          </cell>
          <cell r="E326">
            <v>0</v>
          </cell>
        </row>
        <row r="327">
          <cell r="D327">
            <v>0</v>
          </cell>
          <cell r="E327">
            <v>0</v>
          </cell>
        </row>
        <row r="328">
          <cell r="D328">
            <v>0</v>
          </cell>
          <cell r="E328">
            <v>0</v>
          </cell>
        </row>
        <row r="329">
          <cell r="D329">
            <v>0</v>
          </cell>
          <cell r="E329">
            <v>0</v>
          </cell>
        </row>
        <row r="330">
          <cell r="D330">
            <v>0</v>
          </cell>
          <cell r="E330">
            <v>0</v>
          </cell>
        </row>
        <row r="331">
          <cell r="D331">
            <v>0</v>
          </cell>
          <cell r="E331">
            <v>0</v>
          </cell>
        </row>
      </sheetData>
      <sheetData sheetId="11">
        <row r="2">
          <cell r="E2" t="str">
            <v>English</v>
          </cell>
        </row>
        <row r="3">
          <cell r="E3" t="str">
            <v>Estonian</v>
          </cell>
        </row>
        <row r="4">
          <cell r="E4" t="str">
            <v>Latvian</v>
          </cell>
        </row>
        <row r="5">
          <cell r="E5" t="str">
            <v>Lithuanian</v>
          </cell>
        </row>
        <row r="9">
          <cell r="H9">
            <v>0</v>
          </cell>
        </row>
        <row r="10">
          <cell r="H10">
            <v>1</v>
          </cell>
        </row>
        <row r="11">
          <cell r="H11" t="str">
            <v>1A</v>
          </cell>
        </row>
        <row r="12">
          <cell r="H12" t="str">
            <v>1B</v>
          </cell>
        </row>
        <row r="13">
          <cell r="H13">
            <v>2</v>
          </cell>
        </row>
        <row r="14">
          <cell r="H14" t="str">
            <v>2A</v>
          </cell>
        </row>
        <row r="15">
          <cell r="H15" t="str">
            <v>2B</v>
          </cell>
        </row>
        <row r="16">
          <cell r="H16" t="str">
            <v>2C</v>
          </cell>
        </row>
        <row r="17">
          <cell r="H17">
            <v>3</v>
          </cell>
        </row>
        <row r="18">
          <cell r="H18" t="str">
            <v>3A</v>
          </cell>
        </row>
        <row r="19">
          <cell r="H19" t="str">
            <v>3B</v>
          </cell>
        </row>
        <row r="20">
          <cell r="H20">
            <v>4</v>
          </cell>
        </row>
        <row r="21">
          <cell r="H21" t="str">
            <v>4A</v>
          </cell>
        </row>
        <row r="22">
          <cell r="H22" t="str">
            <v>4B</v>
          </cell>
        </row>
        <row r="23">
          <cell r="H23" t="str">
            <v>4C</v>
          </cell>
        </row>
        <row r="24">
          <cell r="H24">
            <v>5</v>
          </cell>
        </row>
        <row r="25">
          <cell r="H25" t="str">
            <v>5A</v>
          </cell>
        </row>
        <row r="26">
          <cell r="H26" t="str">
            <v>5B</v>
          </cell>
        </row>
        <row r="27">
          <cell r="H27" t="str">
            <v>5C</v>
          </cell>
        </row>
        <row r="28">
          <cell r="H28">
            <v>6</v>
          </cell>
        </row>
        <row r="29">
          <cell r="H29" t="str">
            <v>6A</v>
          </cell>
        </row>
        <row r="30">
          <cell r="H30" t="str">
            <v>6B</v>
          </cell>
        </row>
        <row r="31">
          <cell r="H31">
            <v>7</v>
          </cell>
        </row>
        <row r="32">
          <cell r="H32" t="str">
            <v>7A</v>
          </cell>
        </row>
        <row r="33">
          <cell r="H33" t="str">
            <v>7B</v>
          </cell>
        </row>
        <row r="34">
          <cell r="H34">
            <v>8</v>
          </cell>
        </row>
        <row r="35">
          <cell r="H35">
            <v>9</v>
          </cell>
        </row>
      </sheetData>
      <sheetData sheetId="12"/>
      <sheetData sheetId="13"/>
      <sheetData sheetId="14" refreshError="1"/>
      <sheetData sheetId="15"/>
      <sheetData sheetId="16"/>
      <sheetData sheetId="17">
        <row r="2">
          <cell r="D2" t="str">
            <v>Actual Job Family</v>
          </cell>
        </row>
      </sheetData>
      <sheetData sheetId="18">
        <row r="2">
          <cell r="E2" t="str">
            <v>English</v>
          </cell>
        </row>
      </sheetData>
      <sheetData sheetId="19"/>
      <sheetData sheetId="20"/>
      <sheetData sheetId="21"/>
      <sheetData sheetId="22"/>
      <sheetData sheetId="23">
        <row r="2">
          <cell r="D2" t="str">
            <v>Actual Job Family</v>
          </cell>
        </row>
      </sheetData>
      <sheetData sheetId="24">
        <row r="2">
          <cell r="E2" t="str">
            <v>English</v>
          </cell>
        </row>
      </sheetData>
      <sheetData sheetId="25"/>
      <sheetData sheetId="26"/>
      <sheetData sheetId="27"/>
      <sheetData sheetId="28"/>
      <sheetData sheetId="29">
        <row r="2">
          <cell r="D2" t="str">
            <v>Actual Job Family</v>
          </cell>
        </row>
      </sheetData>
      <sheetData sheetId="30">
        <row r="2">
          <cell r="E2" t="str">
            <v>English</v>
          </cell>
        </row>
      </sheetData>
      <sheetData sheetId="31"/>
      <sheetData sheetId="32"/>
      <sheetData sheetId="33"/>
      <sheetData sheetId="34"/>
      <sheetData sheetId="35">
        <row r="2">
          <cell r="D2" t="str">
            <v>Actual Job Family</v>
          </cell>
        </row>
      </sheetData>
      <sheetData sheetId="36">
        <row r="2">
          <cell r="E2" t="str">
            <v>English</v>
          </cell>
        </row>
      </sheetData>
      <sheetData sheetId="37"/>
      <sheetData sheetId="38"/>
      <sheetData sheetId="39"/>
      <sheetData sheetId="40"/>
      <sheetData sheetId="41">
        <row r="2">
          <cell r="D2" t="str">
            <v>Actual Job Family</v>
          </cell>
        </row>
      </sheetData>
      <sheetData sheetId="42">
        <row r="2">
          <cell r="E2" t="str">
            <v>English</v>
          </cell>
        </row>
      </sheetData>
      <sheetData sheetId="43"/>
      <sheetData sheetId="44"/>
      <sheetData sheetId="45"/>
      <sheetData sheetId="46"/>
      <sheetData sheetId="47">
        <row r="2">
          <cell r="D2" t="str">
            <v>Actual Job Family</v>
          </cell>
        </row>
      </sheetData>
      <sheetData sheetId="48">
        <row r="2">
          <cell r="E2" t="str">
            <v>English</v>
          </cell>
        </row>
      </sheetData>
      <sheetData sheetId="49"/>
      <sheetData sheetId="50"/>
      <sheetData sheetId="51"/>
      <sheetData sheetId="52"/>
      <sheetData sheetId="53">
        <row r="2">
          <cell r="D2" t="str">
            <v>Actual Job Family</v>
          </cell>
        </row>
      </sheetData>
      <sheetData sheetId="54">
        <row r="2">
          <cell r="E2" t="str">
            <v>English</v>
          </cell>
        </row>
      </sheetData>
      <sheetData sheetId="55"/>
      <sheetData sheetId="56"/>
      <sheetData sheetId="57"/>
      <sheetData sheetId="58"/>
      <sheetData sheetId="59">
        <row r="2">
          <cell r="D2" t="str">
            <v>Actual Job Family</v>
          </cell>
        </row>
      </sheetData>
      <sheetData sheetId="60">
        <row r="2">
          <cell r="E2" t="str">
            <v>English</v>
          </cell>
        </row>
      </sheetData>
      <sheetData sheetId="61"/>
      <sheetData sheetId="6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KOONDEELARVE"/>
      <sheetName val="2 TULUDE KOOND"/>
      <sheetName val="2.1 LK TULUD"/>
      <sheetName val="Sheet2 (M)"/>
      <sheetName val="2.2 OMATULUD"/>
      <sheetName val="2.3 TOETUSED"/>
      <sheetName val="3 KULUD"/>
      <sheetName val="4 INVESTEERINGUD"/>
      <sheetName val="5 FIN.TEH "/>
      <sheetName val="6 RAHAKÄIVE"/>
      <sheetName val="7 LIIGENDUS"/>
    </sheetNames>
    <sheetDataSet>
      <sheetData sheetId="0"/>
      <sheetData sheetId="1"/>
      <sheetData sheetId="2"/>
      <sheetData sheetId="3"/>
      <sheetData sheetId="4">
        <row r="369">
          <cell r="J369">
            <v>1367700</v>
          </cell>
        </row>
      </sheetData>
      <sheetData sheetId="5">
        <row r="71">
          <cell r="B71">
            <v>2152276</v>
          </cell>
          <cell r="J71">
            <v>2152276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Piirsumma"/>
      <sheetName val="Piirsumma täpsustus"/>
      <sheetName val="OT 2023 piirsummas"/>
      <sheetName val="Toetused 2023 piirsummas"/>
      <sheetName val="LK suurendus"/>
      <sheetName val="HA palgad"/>
      <sheetName val="PPP muudatused"/>
      <sheetName val="LK vähendus"/>
      <sheetName val="Uued kohad ja palgat Robert"/>
      <sheetName val="LK ÜP haldusalade vahel"/>
      <sheetName val="2.2 OMATULUD"/>
      <sheetName val="3 KULUD"/>
      <sheetName val="2.2 OMATULUD (v)"/>
      <sheetName val="2.3 TOETUSED (v)"/>
      <sheetName val="2.3 TOETUSED"/>
      <sheetName val="list1"/>
      <sheetName val="lis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43">
          <cell r="E443">
            <v>1699700</v>
          </cell>
        </row>
      </sheetData>
      <sheetData sheetId="13"/>
      <sheetData sheetId="14"/>
      <sheetData sheetId="15"/>
      <sheetData sheetId="16">
        <row r="58">
          <cell r="C58">
            <v>173289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4478E-F308-4F8D-90FA-582E2C517A90}">
  <dimension ref="A1:O16"/>
  <sheetViews>
    <sheetView workbookViewId="0">
      <selection activeCell="N27" sqref="N27"/>
    </sheetView>
  </sheetViews>
  <sheetFormatPr defaultColWidth="9.109375" defaultRowHeight="13.2" x14ac:dyDescent="0.25"/>
  <cols>
    <col min="1" max="1" width="41" style="62" bestFit="1" customWidth="1"/>
    <col min="2" max="16384" width="9.109375" style="62"/>
  </cols>
  <sheetData>
    <row r="1" spans="1:15" x14ac:dyDescent="0.25">
      <c r="A1" s="60" t="s">
        <v>370</v>
      </c>
      <c r="B1" s="62" t="s">
        <v>371</v>
      </c>
      <c r="C1" s="62" t="s">
        <v>372</v>
      </c>
      <c r="D1" s="62" t="s">
        <v>373</v>
      </c>
      <c r="E1" s="62" t="s">
        <v>374</v>
      </c>
      <c r="F1" s="62" t="s">
        <v>375</v>
      </c>
      <c r="G1" s="62" t="s">
        <v>376</v>
      </c>
      <c r="H1" s="62" t="s">
        <v>377</v>
      </c>
      <c r="I1" s="62" t="s">
        <v>378</v>
      </c>
      <c r="J1" s="62" t="s">
        <v>379</v>
      </c>
      <c r="K1" s="62" t="s">
        <v>380</v>
      </c>
      <c r="L1" s="62" t="s">
        <v>381</v>
      </c>
      <c r="M1" s="62" t="s">
        <v>382</v>
      </c>
      <c r="N1" s="62" t="s">
        <v>383</v>
      </c>
      <c r="O1" s="62" t="s">
        <v>384</v>
      </c>
    </row>
    <row r="2" spans="1:15" x14ac:dyDescent="0.25">
      <c r="A2" s="60" t="s">
        <v>385</v>
      </c>
      <c r="B2" s="62" t="s">
        <v>386</v>
      </c>
      <c r="C2" s="62" t="s">
        <v>387</v>
      </c>
      <c r="D2" s="62" t="s">
        <v>388</v>
      </c>
      <c r="E2" s="62" t="s">
        <v>389</v>
      </c>
      <c r="F2" s="62" t="s">
        <v>390</v>
      </c>
      <c r="G2" s="62" t="s">
        <v>391</v>
      </c>
      <c r="H2" s="62" t="s">
        <v>392</v>
      </c>
      <c r="I2" s="62" t="s">
        <v>393</v>
      </c>
      <c r="J2" s="62" t="s">
        <v>394</v>
      </c>
      <c r="K2" s="62" t="s">
        <v>395</v>
      </c>
      <c r="L2" s="62" t="s">
        <v>396</v>
      </c>
      <c r="M2" s="62" t="s">
        <v>397</v>
      </c>
      <c r="N2" s="62" t="s">
        <v>398</v>
      </c>
      <c r="O2" s="62" t="s">
        <v>399</v>
      </c>
    </row>
    <row r="3" spans="1:15" x14ac:dyDescent="0.25">
      <c r="A3" s="60" t="s">
        <v>400</v>
      </c>
      <c r="B3" s="62" t="s">
        <v>401</v>
      </c>
      <c r="C3" s="62" t="s">
        <v>402</v>
      </c>
      <c r="D3" s="62" t="s">
        <v>403</v>
      </c>
      <c r="E3" s="62" t="s">
        <v>404</v>
      </c>
      <c r="F3" s="62" t="s">
        <v>405</v>
      </c>
      <c r="G3" s="62" t="s">
        <v>406</v>
      </c>
      <c r="H3" s="62" t="s">
        <v>407</v>
      </c>
      <c r="I3" s="62" t="s">
        <v>408</v>
      </c>
      <c r="J3" s="62" t="s">
        <v>409</v>
      </c>
      <c r="K3" s="62" t="s">
        <v>410</v>
      </c>
      <c r="L3" s="62" t="s">
        <v>411</v>
      </c>
      <c r="M3" s="62" t="s">
        <v>412</v>
      </c>
      <c r="N3" s="62" t="s">
        <v>413</v>
      </c>
      <c r="O3" s="62" t="s">
        <v>414</v>
      </c>
    </row>
    <row r="4" spans="1:15" x14ac:dyDescent="0.25">
      <c r="A4" s="60" t="s">
        <v>415</v>
      </c>
      <c r="B4" s="62" t="s">
        <v>416</v>
      </c>
      <c r="C4" s="62" t="s">
        <v>417</v>
      </c>
      <c r="D4" s="62" t="s">
        <v>418</v>
      </c>
      <c r="F4" s="62" t="s">
        <v>419</v>
      </c>
      <c r="G4" s="62" t="s">
        <v>420</v>
      </c>
      <c r="H4" s="62" t="s">
        <v>421</v>
      </c>
      <c r="I4" s="62" t="s">
        <v>422</v>
      </c>
      <c r="J4" s="62" t="s">
        <v>423</v>
      </c>
      <c r="K4" s="62" t="s">
        <v>424</v>
      </c>
      <c r="L4" s="10" t="s">
        <v>425</v>
      </c>
      <c r="M4" s="62" t="s">
        <v>426</v>
      </c>
      <c r="N4" s="62" t="s">
        <v>427</v>
      </c>
      <c r="O4" s="62" t="s">
        <v>428</v>
      </c>
    </row>
    <row r="5" spans="1:15" x14ac:dyDescent="0.25">
      <c r="A5" s="60" t="s">
        <v>429</v>
      </c>
      <c r="B5" s="62" t="s">
        <v>430</v>
      </c>
      <c r="C5" s="62" t="s">
        <v>431</v>
      </c>
      <c r="D5" s="62" t="s">
        <v>432</v>
      </c>
      <c r="F5" s="62" t="s">
        <v>433</v>
      </c>
      <c r="G5" s="62" t="s">
        <v>434</v>
      </c>
      <c r="H5" s="62" t="s">
        <v>435</v>
      </c>
      <c r="I5" s="62" t="s">
        <v>436</v>
      </c>
      <c r="J5" s="62" t="s">
        <v>437</v>
      </c>
      <c r="K5" s="62" t="s">
        <v>438</v>
      </c>
      <c r="M5" s="62" t="s">
        <v>439</v>
      </c>
      <c r="O5" s="62" t="s">
        <v>440</v>
      </c>
    </row>
    <row r="6" spans="1:15" x14ac:dyDescent="0.25">
      <c r="A6" s="60" t="s">
        <v>441</v>
      </c>
      <c r="C6" s="62" t="s">
        <v>442</v>
      </c>
      <c r="D6" s="62" t="s">
        <v>443</v>
      </c>
      <c r="F6" s="62" t="s">
        <v>444</v>
      </c>
      <c r="G6" s="62" t="s">
        <v>445</v>
      </c>
      <c r="I6" s="62" t="s">
        <v>446</v>
      </c>
      <c r="J6" s="62" t="s">
        <v>447</v>
      </c>
      <c r="O6" s="62" t="s">
        <v>448</v>
      </c>
    </row>
    <row r="7" spans="1:15" x14ac:dyDescent="0.25">
      <c r="A7" s="60" t="s">
        <v>449</v>
      </c>
      <c r="C7" s="62" t="s">
        <v>450</v>
      </c>
      <c r="G7" s="62" t="s">
        <v>451</v>
      </c>
      <c r="I7" s="62" t="s">
        <v>452</v>
      </c>
      <c r="O7" s="62" t="s">
        <v>453</v>
      </c>
    </row>
    <row r="8" spans="1:15" x14ac:dyDescent="0.25">
      <c r="A8" s="60" t="s">
        <v>454</v>
      </c>
      <c r="O8" s="62" t="s">
        <v>455</v>
      </c>
    </row>
    <row r="9" spans="1:15" x14ac:dyDescent="0.25">
      <c r="A9" s="60" t="s">
        <v>456</v>
      </c>
    </row>
    <row r="10" spans="1:15" x14ac:dyDescent="0.25">
      <c r="A10" s="60" t="s">
        <v>457</v>
      </c>
    </row>
    <row r="11" spans="1:15" x14ac:dyDescent="0.25">
      <c r="A11" s="60" t="s">
        <v>458</v>
      </c>
    </row>
    <row r="12" spans="1:15" x14ac:dyDescent="0.25">
      <c r="A12" s="60" t="s">
        <v>459</v>
      </c>
    </row>
    <row r="13" spans="1:15" x14ac:dyDescent="0.25">
      <c r="A13" s="60" t="s">
        <v>460</v>
      </c>
    </row>
    <row r="14" spans="1:15" x14ac:dyDescent="0.25">
      <c r="A14" s="60" t="s">
        <v>461</v>
      </c>
    </row>
    <row r="15" spans="1:15" x14ac:dyDescent="0.25">
      <c r="A15" s="60" t="s">
        <v>462</v>
      </c>
    </row>
    <row r="16" spans="1:15" x14ac:dyDescent="0.25">
      <c r="A16" s="60" t="s">
        <v>463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rgb="FF00B0F0"/>
  </sheetPr>
  <dimension ref="A1:AJ90"/>
  <sheetViews>
    <sheetView showZeros="0" zoomScaleNormal="100" workbookViewId="0">
      <pane xSplit="5" ySplit="4" topLeftCell="F5" activePane="bottomRight" state="frozen"/>
      <selection pane="topRight" activeCell="G1" sqref="G1"/>
      <selection pane="bottomLeft" activeCell="A5" sqref="A5"/>
      <selection pane="bottomRight" activeCell="A91" sqref="A91:XFD1123"/>
    </sheetView>
  </sheetViews>
  <sheetFormatPr defaultColWidth="9.44140625" defaultRowHeight="13.2" x14ac:dyDescent="0.25"/>
  <cols>
    <col min="1" max="2" width="9.44140625" style="62" customWidth="1"/>
    <col min="3" max="3" width="17.6640625" style="62" customWidth="1"/>
    <col min="4" max="4" width="18.33203125" style="62" customWidth="1"/>
    <col min="5" max="5" width="45.44140625" style="62" customWidth="1"/>
    <col min="6" max="6" width="14.5546875" style="62" customWidth="1"/>
    <col min="7" max="7" width="11.44140625" style="62" hidden="1" customWidth="1"/>
    <col min="8" max="8" width="13.33203125" style="62" hidden="1" customWidth="1"/>
    <col min="9" max="9" width="12.33203125" style="62" hidden="1" customWidth="1"/>
    <col min="10" max="10" width="14.5546875" style="62" customWidth="1"/>
    <col min="11" max="27" width="14.5546875" style="62" hidden="1" customWidth="1"/>
    <col min="28" max="29" width="14.5546875" style="62" customWidth="1"/>
    <col min="30" max="30" width="14.88671875" style="62" bestFit="1" customWidth="1"/>
    <col min="31" max="31" width="9.44140625" style="62"/>
    <col min="32" max="32" width="23.5546875" style="62" customWidth="1"/>
    <col min="33" max="33" width="12.6640625" style="62" customWidth="1"/>
    <col min="34" max="34" width="17" style="62" customWidth="1"/>
    <col min="35" max="35" width="15.5546875" style="62" customWidth="1"/>
    <col min="36" max="36" width="40.6640625" style="62" customWidth="1"/>
    <col min="37" max="16384" width="9.44140625" style="62"/>
  </cols>
  <sheetData>
    <row r="1" spans="1:36" ht="13.8" x14ac:dyDescent="0.25">
      <c r="E1" s="322" t="s">
        <v>42</v>
      </c>
      <c r="AJ1" s="43" t="s">
        <v>264</v>
      </c>
    </row>
    <row r="2" spans="1:36" ht="13.8" x14ac:dyDescent="0.25">
      <c r="E2" s="322"/>
    </row>
    <row r="3" spans="1:36" ht="13.8" x14ac:dyDescent="0.25">
      <c r="E3" s="322"/>
      <c r="F3" s="434">
        <v>2022</v>
      </c>
      <c r="G3" s="435"/>
      <c r="H3" s="435"/>
      <c r="I3" s="435"/>
      <c r="J3" s="436"/>
      <c r="O3" s="437" t="s">
        <v>321</v>
      </c>
      <c r="P3" s="438"/>
      <c r="Q3" s="438"/>
      <c r="R3" s="438"/>
      <c r="S3" s="438"/>
      <c r="T3" s="438"/>
      <c r="U3" s="438"/>
      <c r="V3" s="438"/>
      <c r="W3" s="438"/>
      <c r="X3" s="439"/>
      <c r="Y3" s="427" t="s">
        <v>322</v>
      </c>
      <c r="Z3" s="427"/>
      <c r="AA3" s="427"/>
      <c r="AB3" s="323">
        <v>2023</v>
      </c>
      <c r="AC3" s="410">
        <v>2023</v>
      </c>
      <c r="AD3" s="428" t="s">
        <v>295</v>
      </c>
      <c r="AE3" s="429"/>
      <c r="AF3" s="430"/>
      <c r="AG3" s="431" t="s">
        <v>466</v>
      </c>
      <c r="AH3" s="432"/>
      <c r="AI3" s="432"/>
      <c r="AJ3" s="433"/>
    </row>
    <row r="4" spans="1:36" ht="105.6" x14ac:dyDescent="0.25">
      <c r="A4" s="324" t="s">
        <v>323</v>
      </c>
      <c r="B4" s="324" t="s">
        <v>324</v>
      </c>
      <c r="C4" s="325" t="s">
        <v>325</v>
      </c>
      <c r="D4" s="325" t="s">
        <v>326</v>
      </c>
      <c r="E4" s="225"/>
      <c r="F4" s="326" t="s">
        <v>327</v>
      </c>
      <c r="G4" s="327" t="s">
        <v>328</v>
      </c>
      <c r="H4" s="327" t="s">
        <v>329</v>
      </c>
      <c r="I4" s="327" t="s">
        <v>330</v>
      </c>
      <c r="J4" s="328" t="s">
        <v>186</v>
      </c>
      <c r="K4" s="329" t="s">
        <v>185</v>
      </c>
      <c r="L4" s="329" t="s">
        <v>331</v>
      </c>
      <c r="M4" s="329" t="s">
        <v>332</v>
      </c>
      <c r="N4" s="329" t="s">
        <v>333</v>
      </c>
      <c r="O4" s="330" t="s">
        <v>334</v>
      </c>
      <c r="P4" s="330" t="s">
        <v>335</v>
      </c>
      <c r="Q4" s="330" t="s">
        <v>336</v>
      </c>
      <c r="R4" s="330" t="s">
        <v>337</v>
      </c>
      <c r="S4" s="330" t="s">
        <v>338</v>
      </c>
      <c r="T4" s="330" t="s">
        <v>339</v>
      </c>
      <c r="U4" s="330" t="s">
        <v>340</v>
      </c>
      <c r="V4" s="330" t="s">
        <v>341</v>
      </c>
      <c r="W4" s="330" t="s">
        <v>342</v>
      </c>
      <c r="X4" s="331" t="s">
        <v>343</v>
      </c>
      <c r="Y4" s="330" t="s">
        <v>344</v>
      </c>
      <c r="Z4" s="330" t="s">
        <v>345</v>
      </c>
      <c r="AA4" s="330" t="s">
        <v>346</v>
      </c>
      <c r="AB4" s="332" t="s">
        <v>369</v>
      </c>
      <c r="AC4" s="332" t="s">
        <v>468</v>
      </c>
      <c r="AD4" s="321" t="s">
        <v>13</v>
      </c>
      <c r="AE4" s="333" t="s">
        <v>209</v>
      </c>
      <c r="AF4" s="72" t="s">
        <v>210</v>
      </c>
      <c r="AG4" s="73" t="s">
        <v>467</v>
      </c>
      <c r="AH4" s="73" t="s">
        <v>464</v>
      </c>
      <c r="AI4" s="73" t="s">
        <v>465</v>
      </c>
      <c r="AJ4" s="73" t="s">
        <v>211</v>
      </c>
    </row>
    <row r="5" spans="1:36" ht="15.6" x14ac:dyDescent="0.25">
      <c r="E5" s="334" t="s">
        <v>34</v>
      </c>
      <c r="F5" s="335"/>
      <c r="J5" s="335">
        <f t="shared" ref="J5:J64" si="0">F5+G5+H5+I5</f>
        <v>0</v>
      </c>
      <c r="K5" s="335"/>
      <c r="L5" s="335"/>
      <c r="M5" s="335"/>
      <c r="N5" s="335">
        <f t="shared" ref="N5:N42" si="1">K5-L5-M5</f>
        <v>0</v>
      </c>
      <c r="O5" s="335"/>
      <c r="P5" s="335"/>
      <c r="Q5" s="335"/>
      <c r="R5" s="335"/>
      <c r="S5" s="335"/>
      <c r="T5" s="335"/>
      <c r="U5" s="335"/>
      <c r="V5" s="335"/>
      <c r="W5" s="335"/>
      <c r="X5" s="335">
        <f t="shared" ref="X5:X30" si="2">SUM(O5:W5)</f>
        <v>0</v>
      </c>
      <c r="Y5" s="335"/>
      <c r="Z5" s="335"/>
      <c r="AA5" s="335"/>
      <c r="AB5" s="356">
        <f t="shared" ref="AB5:AB6" si="3">N5+X5+Y5+Z5+AA5</f>
        <v>0</v>
      </c>
      <c r="AC5" s="356"/>
      <c r="AD5" s="335">
        <f t="shared" ref="AD5:AD64" si="4">AC5-J5</f>
        <v>0</v>
      </c>
      <c r="AE5" s="357" t="str">
        <f t="shared" ref="AE5:AE64" si="5">IF(J5=0,"",AD5/J5)</f>
        <v/>
      </c>
      <c r="AG5" s="62">
        <f t="shared" ref="AG5:AG64" si="6">AH5+AI5</f>
        <v>0</v>
      </c>
    </row>
    <row r="6" spans="1:36" x14ac:dyDescent="0.25">
      <c r="E6" s="352"/>
      <c r="F6" s="210"/>
      <c r="J6" s="210">
        <f t="shared" si="0"/>
        <v>0</v>
      </c>
      <c r="K6" s="210"/>
      <c r="L6" s="210"/>
      <c r="M6" s="210"/>
      <c r="N6" s="210">
        <f t="shared" si="1"/>
        <v>0</v>
      </c>
      <c r="O6" s="210"/>
      <c r="P6" s="210"/>
      <c r="Q6" s="210"/>
      <c r="R6" s="210"/>
      <c r="S6" s="210"/>
      <c r="T6" s="210"/>
      <c r="U6" s="210"/>
      <c r="V6" s="210"/>
      <c r="W6" s="210"/>
      <c r="X6" s="210">
        <f t="shared" si="2"/>
        <v>0</v>
      </c>
      <c r="Y6" s="210"/>
      <c r="Z6" s="210"/>
      <c r="AA6" s="210"/>
      <c r="AB6" s="353">
        <f t="shared" si="3"/>
        <v>0</v>
      </c>
      <c r="AC6" s="353"/>
      <c r="AD6" s="210">
        <f t="shared" si="4"/>
        <v>0</v>
      </c>
      <c r="AE6" s="235" t="str">
        <f t="shared" si="5"/>
        <v/>
      </c>
      <c r="AG6" s="62">
        <f t="shared" si="6"/>
        <v>0</v>
      </c>
    </row>
    <row r="7" spans="1:36" x14ac:dyDescent="0.25">
      <c r="E7" s="336" t="s">
        <v>72</v>
      </c>
      <c r="F7" s="206">
        <f>SUM(F15,F33)</f>
        <v>112946750</v>
      </c>
      <c r="G7" s="206">
        <f>SUM(G15,G33)</f>
        <v>0</v>
      </c>
      <c r="H7" s="206">
        <f>SUM(H15,H33)</f>
        <v>729862</v>
      </c>
      <c r="I7" s="206">
        <f>SUM(I15,I33)</f>
        <v>140128</v>
      </c>
      <c r="J7" s="206">
        <f t="shared" si="0"/>
        <v>113816740</v>
      </c>
      <c r="K7" s="206">
        <f>SUM(K15,K33)</f>
        <v>112946750</v>
      </c>
      <c r="L7" s="206">
        <f>SUM(L15,L33)</f>
        <v>1367700</v>
      </c>
      <c r="M7" s="206">
        <f>SUM(M15,M33)</f>
        <v>2152276</v>
      </c>
      <c r="N7" s="206">
        <f t="shared" si="1"/>
        <v>109426774</v>
      </c>
      <c r="O7" s="206"/>
      <c r="P7" s="206"/>
      <c r="Q7" s="206"/>
      <c r="R7" s="206">
        <f t="shared" ref="R7" si="7">SUM(R15,R33)</f>
        <v>176212</v>
      </c>
      <c r="S7" s="206"/>
      <c r="T7" s="206"/>
      <c r="U7" s="206"/>
      <c r="V7" s="206">
        <f t="shared" ref="V7:W7" si="8">SUM(V15,V33)</f>
        <v>2170000</v>
      </c>
      <c r="W7" s="206">
        <f t="shared" si="8"/>
        <v>0</v>
      </c>
      <c r="X7" s="206">
        <f t="shared" si="2"/>
        <v>2346212</v>
      </c>
      <c r="Y7" s="206">
        <f>SUM(Y15,Y33)</f>
        <v>1367700</v>
      </c>
      <c r="Z7" s="206"/>
      <c r="AA7" s="206">
        <f>SUM(AA15,AA33)</f>
        <v>173289</v>
      </c>
      <c r="AB7" s="337">
        <f t="shared" ref="AB7:AB70" si="9">N7+X7+Y7+Z7+AA7</f>
        <v>113313975</v>
      </c>
      <c r="AC7" s="337"/>
      <c r="AD7" s="206">
        <f t="shared" si="4"/>
        <v>-113816740</v>
      </c>
      <c r="AE7" s="238">
        <f t="shared" si="5"/>
        <v>-1</v>
      </c>
      <c r="AG7" s="62">
        <f t="shared" si="6"/>
        <v>0</v>
      </c>
    </row>
    <row r="8" spans="1:36" x14ac:dyDescent="0.25">
      <c r="E8" s="338" t="s">
        <v>109</v>
      </c>
      <c r="F8" s="207">
        <v>2600000</v>
      </c>
      <c r="J8" s="207">
        <f t="shared" si="0"/>
        <v>2600000</v>
      </c>
      <c r="K8" s="207">
        <v>2600000</v>
      </c>
      <c r="L8" s="207"/>
      <c r="M8" s="207"/>
      <c r="N8" s="207">
        <f t="shared" si="1"/>
        <v>2600000</v>
      </c>
      <c r="O8" s="207"/>
      <c r="P8" s="207"/>
      <c r="Q8" s="207"/>
      <c r="R8" s="207"/>
      <c r="S8" s="207"/>
      <c r="T8" s="207"/>
      <c r="U8" s="207"/>
      <c r="V8" s="207"/>
      <c r="W8" s="207"/>
      <c r="X8" s="207">
        <f t="shared" si="2"/>
        <v>0</v>
      </c>
      <c r="Y8" s="207"/>
      <c r="Z8" s="207"/>
      <c r="AA8" s="207"/>
      <c r="AB8" s="339">
        <f t="shared" si="9"/>
        <v>2600000</v>
      </c>
      <c r="AC8" s="339"/>
      <c r="AD8" s="207">
        <f t="shared" si="4"/>
        <v>-2600000</v>
      </c>
      <c r="AE8" s="141">
        <f t="shared" si="5"/>
        <v>-1</v>
      </c>
      <c r="AG8" s="62">
        <f t="shared" si="6"/>
        <v>0</v>
      </c>
    </row>
    <row r="9" spans="1:36" x14ac:dyDescent="0.25">
      <c r="E9" s="336" t="s">
        <v>43</v>
      </c>
      <c r="F9" s="206">
        <f>SUM(F10:F12)</f>
        <v>112946750</v>
      </c>
      <c r="G9" s="206">
        <f>SUM(G10:G12)</f>
        <v>0</v>
      </c>
      <c r="H9" s="206">
        <f>SUM(H10:H12)</f>
        <v>729862</v>
      </c>
      <c r="I9" s="206">
        <f>SUM(I10:I12)</f>
        <v>140128</v>
      </c>
      <c r="J9" s="206">
        <f t="shared" si="0"/>
        <v>113816740</v>
      </c>
      <c r="K9" s="206">
        <f>SUM(K10:K12)</f>
        <v>112946750</v>
      </c>
      <c r="L9" s="206">
        <f>SUM(L10:L12)</f>
        <v>1367700</v>
      </c>
      <c r="M9" s="206">
        <f>SUM(M10:M12)</f>
        <v>2152276</v>
      </c>
      <c r="N9" s="206">
        <f t="shared" si="1"/>
        <v>109426774</v>
      </c>
      <c r="O9" s="206"/>
      <c r="P9" s="206"/>
      <c r="Q9" s="206"/>
      <c r="R9" s="206">
        <f t="shared" ref="R9" si="10">SUM(R10:R12)</f>
        <v>176212</v>
      </c>
      <c r="S9" s="206"/>
      <c r="T9" s="206"/>
      <c r="U9" s="206"/>
      <c r="V9" s="206">
        <f t="shared" ref="V9:W9" si="11">SUM(V10:V12)</f>
        <v>2170000</v>
      </c>
      <c r="W9" s="206">
        <f t="shared" si="11"/>
        <v>0</v>
      </c>
      <c r="X9" s="206">
        <f t="shared" si="2"/>
        <v>2346212</v>
      </c>
      <c r="Y9" s="206">
        <f>SUM(Y10:Y12)</f>
        <v>1699700</v>
      </c>
      <c r="Z9" s="206"/>
      <c r="AA9" s="206">
        <f>SUM(AA10:AA12)</f>
        <v>173289</v>
      </c>
      <c r="AB9" s="337">
        <f t="shared" si="9"/>
        <v>113645975</v>
      </c>
      <c r="AC9" s="337"/>
      <c r="AD9" s="206">
        <f t="shared" si="4"/>
        <v>-113816740</v>
      </c>
      <c r="AE9" s="238">
        <f t="shared" si="5"/>
        <v>-1</v>
      </c>
      <c r="AG9" s="62">
        <f t="shared" si="6"/>
        <v>0</v>
      </c>
    </row>
    <row r="10" spans="1:36" x14ac:dyDescent="0.25">
      <c r="E10" s="338" t="s">
        <v>44</v>
      </c>
      <c r="F10" s="207">
        <f>'[3]2.2 OMATULUD'!J369</f>
        <v>1367700</v>
      </c>
      <c r="J10" s="207">
        <f t="shared" si="0"/>
        <v>1367700</v>
      </c>
      <c r="K10" s="207">
        <v>1367700</v>
      </c>
      <c r="L10" s="207">
        <v>1367700</v>
      </c>
      <c r="M10" s="207"/>
      <c r="N10" s="207">
        <f t="shared" si="1"/>
        <v>0</v>
      </c>
      <c r="O10" s="207"/>
      <c r="P10" s="207"/>
      <c r="Q10" s="207"/>
      <c r="R10" s="207"/>
      <c r="S10" s="207"/>
      <c r="T10" s="207"/>
      <c r="U10" s="207"/>
      <c r="V10" s="207"/>
      <c r="W10" s="207"/>
      <c r="X10" s="207">
        <f t="shared" si="2"/>
        <v>0</v>
      </c>
      <c r="Y10" s="207">
        <f>'[4]2.2 OMATULUD'!E443</f>
        <v>1699700</v>
      </c>
      <c r="Z10" s="207"/>
      <c r="AA10" s="207"/>
      <c r="AB10" s="339">
        <f t="shared" si="9"/>
        <v>1699700</v>
      </c>
      <c r="AC10" s="339"/>
      <c r="AD10" s="207">
        <f t="shared" si="4"/>
        <v>-1367700</v>
      </c>
      <c r="AE10" s="141">
        <f t="shared" si="5"/>
        <v>-1</v>
      </c>
      <c r="AG10" s="62">
        <f t="shared" si="6"/>
        <v>0</v>
      </c>
    </row>
    <row r="11" spans="1:36" x14ac:dyDescent="0.25">
      <c r="E11" s="340" t="s">
        <v>32</v>
      </c>
      <c r="F11" s="207">
        <f>'[3]2.3 TOETUSED'!J71</f>
        <v>2152276</v>
      </c>
      <c r="H11" s="230">
        <v>363569</v>
      </c>
      <c r="J11" s="207">
        <f t="shared" si="0"/>
        <v>2515845</v>
      </c>
      <c r="K11" s="207">
        <f>'[3]2.3 TOETUSED'!B71</f>
        <v>2152276</v>
      </c>
      <c r="L11" s="207"/>
      <c r="M11" s="207">
        <v>2152276</v>
      </c>
      <c r="N11" s="207">
        <f t="shared" si="1"/>
        <v>0</v>
      </c>
      <c r="O11" s="207"/>
      <c r="P11" s="207"/>
      <c r="Q11" s="207"/>
      <c r="R11" s="207"/>
      <c r="S11" s="207"/>
      <c r="T11" s="207"/>
      <c r="U11" s="207"/>
      <c r="V11" s="207"/>
      <c r="W11" s="207"/>
      <c r="X11" s="207">
        <f t="shared" si="2"/>
        <v>0</v>
      </c>
      <c r="Y11" s="207"/>
      <c r="Z11" s="207"/>
      <c r="AA11" s="207">
        <f>'[4]2.3 TOETUSED'!C58</f>
        <v>173289</v>
      </c>
      <c r="AB11" s="339">
        <f t="shared" si="9"/>
        <v>173289</v>
      </c>
      <c r="AC11" s="339"/>
      <c r="AD11" s="207">
        <f t="shared" si="4"/>
        <v>-2515845</v>
      </c>
      <c r="AE11" s="141">
        <f t="shared" si="5"/>
        <v>-1</v>
      </c>
      <c r="AG11" s="62">
        <f t="shared" si="6"/>
        <v>0</v>
      </c>
    </row>
    <row r="12" spans="1:36" x14ac:dyDescent="0.25">
      <c r="E12" s="340" t="s">
        <v>45</v>
      </c>
      <c r="F12" s="207">
        <f>F7-F10-F11</f>
        <v>109426774</v>
      </c>
      <c r="G12" s="207">
        <f>G7-G10-G11</f>
        <v>0</v>
      </c>
      <c r="H12" s="207">
        <f>H7-H10-H11</f>
        <v>366293</v>
      </c>
      <c r="I12" s="207">
        <f>I7-I10-I11</f>
        <v>140128</v>
      </c>
      <c r="J12" s="207">
        <f t="shared" si="0"/>
        <v>109933195</v>
      </c>
      <c r="K12" s="207">
        <f>K7-K10-K11</f>
        <v>109426774</v>
      </c>
      <c r="L12" s="207">
        <f>L7-L10-L11</f>
        <v>0</v>
      </c>
      <c r="M12" s="207">
        <f>M7-M10-M11</f>
        <v>0</v>
      </c>
      <c r="N12" s="207">
        <f t="shared" si="1"/>
        <v>109426774</v>
      </c>
      <c r="O12" s="207"/>
      <c r="P12" s="207"/>
      <c r="Q12" s="207"/>
      <c r="R12" s="207">
        <f t="shared" ref="R12" si="12">R7-R10-R11</f>
        <v>176212</v>
      </c>
      <c r="S12" s="207"/>
      <c r="T12" s="207"/>
      <c r="U12" s="207"/>
      <c r="V12" s="207">
        <f t="shared" ref="V12:W12" si="13">V7-V10-V11</f>
        <v>2170000</v>
      </c>
      <c r="W12" s="207">
        <f t="shared" si="13"/>
        <v>0</v>
      </c>
      <c r="X12" s="207">
        <f t="shared" si="2"/>
        <v>2346212</v>
      </c>
      <c r="Y12" s="207"/>
      <c r="Z12" s="207"/>
      <c r="AA12" s="207"/>
      <c r="AB12" s="339">
        <f t="shared" si="9"/>
        <v>111772986</v>
      </c>
      <c r="AC12" s="339"/>
      <c r="AD12" s="207">
        <f t="shared" si="4"/>
        <v>-109933195</v>
      </c>
      <c r="AE12" s="141">
        <f t="shared" si="5"/>
        <v>-1</v>
      </c>
      <c r="AG12" s="62">
        <f t="shared" si="6"/>
        <v>0</v>
      </c>
    </row>
    <row r="13" spans="1:36" s="10" customFormat="1" x14ac:dyDescent="0.25">
      <c r="E13" s="341" t="s">
        <v>194</v>
      </c>
      <c r="F13" s="208">
        <f>F36+F58+F63+F77</f>
        <v>1378595</v>
      </c>
      <c r="H13" s="208">
        <f>H36+H58+H63+H77+H68+H82</f>
        <v>333</v>
      </c>
      <c r="I13" s="208">
        <f>I36+I58+I63+I77</f>
        <v>104729</v>
      </c>
      <c r="J13" s="208">
        <f t="shared" si="0"/>
        <v>1483657</v>
      </c>
      <c r="K13" s="208">
        <f>K36+K58+K63+K77</f>
        <v>1378595</v>
      </c>
      <c r="L13" s="208">
        <f>L36+L58+L63+L77</f>
        <v>0</v>
      </c>
      <c r="M13" s="208">
        <f>M36+M58+M63+M77</f>
        <v>85376</v>
      </c>
      <c r="N13" s="208">
        <f t="shared" si="1"/>
        <v>1293219</v>
      </c>
      <c r="O13" s="208"/>
      <c r="P13" s="208"/>
      <c r="Q13" s="208"/>
      <c r="R13" s="208">
        <f t="shared" ref="R13" si="14">R36+R58+R63+R77</f>
        <v>130310</v>
      </c>
      <c r="S13" s="208"/>
      <c r="T13" s="208"/>
      <c r="U13" s="208"/>
      <c r="V13" s="208">
        <f>V36+V58+V63+V77+V68+V82</f>
        <v>22422</v>
      </c>
      <c r="W13" s="208">
        <f t="shared" ref="W13" si="15">W36+W58+W63+W77</f>
        <v>0</v>
      </c>
      <c r="X13" s="208">
        <f t="shared" si="2"/>
        <v>152732</v>
      </c>
      <c r="Y13" s="208"/>
      <c r="Z13" s="208"/>
      <c r="AA13" s="208">
        <f>AA36+AA58+AA63+AA77+AA82</f>
        <v>54587</v>
      </c>
      <c r="AB13" s="342">
        <f t="shared" si="9"/>
        <v>1500538</v>
      </c>
      <c r="AC13" s="342"/>
      <c r="AD13" s="208">
        <f t="shared" si="4"/>
        <v>-1483657</v>
      </c>
      <c r="AE13" s="343">
        <f t="shared" si="5"/>
        <v>-1</v>
      </c>
      <c r="AG13" s="10">
        <f t="shared" si="6"/>
        <v>0</v>
      </c>
    </row>
    <row r="14" spans="1:36" x14ac:dyDescent="0.25">
      <c r="E14" s="402"/>
      <c r="F14" s="207"/>
      <c r="J14" s="207">
        <f t="shared" si="0"/>
        <v>0</v>
      </c>
      <c r="K14" s="207"/>
      <c r="L14" s="207"/>
      <c r="M14" s="207"/>
      <c r="N14" s="207">
        <f t="shared" si="1"/>
        <v>0</v>
      </c>
      <c r="O14" s="207"/>
      <c r="P14" s="207"/>
      <c r="Q14" s="207"/>
      <c r="R14" s="207"/>
      <c r="S14" s="207"/>
      <c r="T14" s="207"/>
      <c r="U14" s="207"/>
      <c r="V14" s="207"/>
      <c r="W14" s="207"/>
      <c r="X14" s="207">
        <f t="shared" si="2"/>
        <v>0</v>
      </c>
      <c r="Y14" s="207"/>
      <c r="Z14" s="207"/>
      <c r="AA14" s="207"/>
      <c r="AB14" s="339">
        <f t="shared" si="9"/>
        <v>0</v>
      </c>
      <c r="AC14" s="339"/>
      <c r="AD14" s="207">
        <f t="shared" si="4"/>
        <v>0</v>
      </c>
      <c r="AE14" s="141" t="str">
        <f t="shared" si="5"/>
        <v/>
      </c>
      <c r="AG14" s="62">
        <f t="shared" si="6"/>
        <v>0</v>
      </c>
    </row>
    <row r="15" spans="1:36" ht="13.8" x14ac:dyDescent="0.25">
      <c r="A15" s="62" t="s">
        <v>188</v>
      </c>
      <c r="B15" s="62" t="s">
        <v>189</v>
      </c>
      <c r="E15" s="382" t="s">
        <v>90</v>
      </c>
      <c r="F15" s="383">
        <f>SUM(F16,F25,F31)</f>
        <v>109446997</v>
      </c>
      <c r="H15" s="383">
        <f>SUM(H16,H25,H31)</f>
        <v>266300</v>
      </c>
      <c r="J15" s="383">
        <f t="shared" si="0"/>
        <v>109713297</v>
      </c>
      <c r="K15" s="383">
        <f>SUM(K16,K25,K31)</f>
        <v>109446997</v>
      </c>
      <c r="L15" s="383">
        <f>SUM(L16,L25,L31)</f>
        <v>1328110</v>
      </c>
      <c r="M15" s="383">
        <f>M16</f>
        <v>2000000</v>
      </c>
      <c r="N15" s="383">
        <f t="shared" si="1"/>
        <v>106118887</v>
      </c>
      <c r="O15" s="383"/>
      <c r="P15" s="383"/>
      <c r="Q15" s="383"/>
      <c r="R15" s="383"/>
      <c r="S15" s="383"/>
      <c r="T15" s="383"/>
      <c r="U15" s="383"/>
      <c r="V15" s="383">
        <f>SUM(V16,V25,V31)</f>
        <v>2090000</v>
      </c>
      <c r="W15" s="383"/>
      <c r="X15" s="383">
        <f t="shared" si="2"/>
        <v>2090000</v>
      </c>
      <c r="Y15" s="383">
        <f>SUM(Y16,Y25,Y31)</f>
        <v>1328110</v>
      </c>
      <c r="Z15" s="383"/>
      <c r="AA15" s="383"/>
      <c r="AB15" s="384">
        <f t="shared" si="9"/>
        <v>109536997</v>
      </c>
      <c r="AC15" s="384"/>
      <c r="AD15" s="383">
        <f t="shared" si="4"/>
        <v>-109713297</v>
      </c>
      <c r="AE15" s="385">
        <f t="shared" si="5"/>
        <v>-1</v>
      </c>
      <c r="AG15" s="62">
        <f t="shared" si="6"/>
        <v>0</v>
      </c>
    </row>
    <row r="16" spans="1:36" x14ac:dyDescent="0.25">
      <c r="C16" s="344"/>
      <c r="D16" s="344"/>
      <c r="E16" s="395" t="s">
        <v>91</v>
      </c>
      <c r="F16" s="203">
        <f>SUM(F18,F23)</f>
        <v>105526610</v>
      </c>
      <c r="H16" s="203">
        <f>SUM(H18,H23)</f>
        <v>176300</v>
      </c>
      <c r="J16" s="203">
        <f t="shared" si="0"/>
        <v>105702910</v>
      </c>
      <c r="K16" s="203">
        <f>SUM(K18,K23)</f>
        <v>105526610</v>
      </c>
      <c r="L16" s="203">
        <f>SUM(L18,L23)</f>
        <v>1328110</v>
      </c>
      <c r="M16" s="203">
        <f>M18</f>
        <v>2000000</v>
      </c>
      <c r="N16" s="203">
        <f t="shared" si="1"/>
        <v>102198500</v>
      </c>
      <c r="O16" s="203"/>
      <c r="P16" s="203"/>
      <c r="Q16" s="203"/>
      <c r="R16" s="203"/>
      <c r="S16" s="203"/>
      <c r="T16" s="203"/>
      <c r="U16" s="203"/>
      <c r="V16" s="203">
        <f>SUM(V18,V23)</f>
        <v>2000000</v>
      </c>
      <c r="W16" s="203"/>
      <c r="X16" s="203">
        <f t="shared" si="2"/>
        <v>2000000</v>
      </c>
      <c r="Y16" s="203">
        <f>SUM(Y18,Y23)</f>
        <v>1328110</v>
      </c>
      <c r="Z16" s="203"/>
      <c r="AA16" s="203"/>
      <c r="AB16" s="387">
        <f t="shared" si="9"/>
        <v>105526610</v>
      </c>
      <c r="AC16" s="387"/>
      <c r="AD16" s="203">
        <f t="shared" si="4"/>
        <v>-105702910</v>
      </c>
      <c r="AE16" s="238">
        <f t="shared" si="5"/>
        <v>-1</v>
      </c>
      <c r="AG16" s="62">
        <f t="shared" si="6"/>
        <v>0</v>
      </c>
    </row>
    <row r="17" spans="3:33" x14ac:dyDescent="0.25">
      <c r="E17" s="386" t="s">
        <v>75</v>
      </c>
      <c r="F17" s="203"/>
      <c r="J17" s="203">
        <f t="shared" si="0"/>
        <v>0</v>
      </c>
      <c r="K17" s="203"/>
      <c r="L17" s="203"/>
      <c r="M17" s="203"/>
      <c r="N17" s="203">
        <f t="shared" si="1"/>
        <v>0</v>
      </c>
      <c r="O17" s="203"/>
      <c r="P17" s="203"/>
      <c r="Q17" s="203"/>
      <c r="R17" s="203"/>
      <c r="S17" s="203"/>
      <c r="T17" s="203"/>
      <c r="U17" s="203"/>
      <c r="V17" s="203"/>
      <c r="W17" s="203"/>
      <c r="X17" s="203">
        <f t="shared" si="2"/>
        <v>0</v>
      </c>
      <c r="Y17" s="203"/>
      <c r="Z17" s="203"/>
      <c r="AA17" s="203"/>
      <c r="AB17" s="387">
        <f t="shared" si="9"/>
        <v>0</v>
      </c>
      <c r="AC17" s="387"/>
      <c r="AD17" s="203">
        <f t="shared" si="4"/>
        <v>0</v>
      </c>
      <c r="AE17" s="238" t="str">
        <f t="shared" si="5"/>
        <v/>
      </c>
      <c r="AG17" s="62">
        <f t="shared" si="6"/>
        <v>0</v>
      </c>
    </row>
    <row r="18" spans="3:33" x14ac:dyDescent="0.25">
      <c r="E18" s="37" t="s">
        <v>92</v>
      </c>
      <c r="F18" s="46">
        <f>84000000+20198500</f>
        <v>104198500</v>
      </c>
      <c r="H18" s="19">
        <v>176300</v>
      </c>
      <c r="J18" s="46">
        <f t="shared" si="0"/>
        <v>104374800</v>
      </c>
      <c r="K18" s="46">
        <f>84000000+20198500</f>
        <v>104198500</v>
      </c>
      <c r="L18" s="46"/>
      <c r="M18" s="46">
        <v>2000000</v>
      </c>
      <c r="N18" s="46">
        <f t="shared" si="1"/>
        <v>102198500</v>
      </c>
      <c r="O18" s="46"/>
      <c r="P18" s="46"/>
      <c r="Q18" s="46"/>
      <c r="R18" s="46"/>
      <c r="S18" s="46"/>
      <c r="T18" s="46"/>
      <c r="U18" s="46"/>
      <c r="V18" s="46">
        <v>2000000</v>
      </c>
      <c r="W18" s="46"/>
      <c r="X18" s="46">
        <f t="shared" si="2"/>
        <v>2000000</v>
      </c>
      <c r="Y18" s="46"/>
      <c r="Z18" s="46"/>
      <c r="AA18" s="46"/>
      <c r="AB18" s="388">
        <f t="shared" si="9"/>
        <v>104198500</v>
      </c>
      <c r="AC18" s="388"/>
      <c r="AD18" s="46">
        <f t="shared" si="4"/>
        <v>-104374800</v>
      </c>
      <c r="AE18" s="144">
        <f t="shared" si="5"/>
        <v>-1</v>
      </c>
      <c r="AG18" s="62">
        <f t="shared" si="6"/>
        <v>0</v>
      </c>
    </row>
    <row r="19" spans="3:33" x14ac:dyDescent="0.25">
      <c r="E19" s="37"/>
      <c r="F19" s="46"/>
      <c r="J19" s="46">
        <f t="shared" si="0"/>
        <v>0</v>
      </c>
      <c r="K19" s="46"/>
      <c r="L19" s="46"/>
      <c r="M19" s="46"/>
      <c r="N19" s="46">
        <f t="shared" si="1"/>
        <v>0</v>
      </c>
      <c r="O19" s="46"/>
      <c r="P19" s="46"/>
      <c r="Q19" s="46"/>
      <c r="R19" s="46"/>
      <c r="S19" s="46"/>
      <c r="T19" s="46"/>
      <c r="U19" s="46"/>
      <c r="V19" s="46"/>
      <c r="W19" s="46"/>
      <c r="X19" s="46">
        <f t="shared" si="2"/>
        <v>0</v>
      </c>
      <c r="Y19" s="46"/>
      <c r="Z19" s="46"/>
      <c r="AA19" s="46"/>
      <c r="AB19" s="388">
        <f t="shared" si="9"/>
        <v>0</v>
      </c>
      <c r="AC19" s="388"/>
      <c r="AD19" s="46">
        <f t="shared" si="4"/>
        <v>0</v>
      </c>
      <c r="AE19" s="144" t="str">
        <f t="shared" si="5"/>
        <v/>
      </c>
      <c r="AG19" s="62">
        <f t="shared" si="6"/>
        <v>0</v>
      </c>
    </row>
    <row r="20" spans="3:33" x14ac:dyDescent="0.25">
      <c r="E20" s="381" t="s">
        <v>86</v>
      </c>
      <c r="F20" s="205">
        <v>2000000</v>
      </c>
      <c r="J20" s="205">
        <f t="shared" si="0"/>
        <v>2000000</v>
      </c>
      <c r="K20" s="205">
        <v>2000000</v>
      </c>
      <c r="L20" s="205"/>
      <c r="M20" s="205">
        <v>2000000</v>
      </c>
      <c r="N20" s="205">
        <f t="shared" si="1"/>
        <v>0</v>
      </c>
      <c r="O20" s="205"/>
      <c r="P20" s="205"/>
      <c r="Q20" s="205"/>
      <c r="R20" s="205"/>
      <c r="S20" s="205"/>
      <c r="T20" s="205"/>
      <c r="U20" s="205"/>
      <c r="V20" s="205"/>
      <c r="W20" s="205"/>
      <c r="X20" s="205">
        <f t="shared" si="2"/>
        <v>0</v>
      </c>
      <c r="Y20" s="205"/>
      <c r="Z20" s="205"/>
      <c r="AA20" s="205"/>
      <c r="AB20" s="359">
        <f t="shared" si="9"/>
        <v>0</v>
      </c>
      <c r="AC20" s="359"/>
      <c r="AD20" s="205">
        <f t="shared" si="4"/>
        <v>-2000000</v>
      </c>
      <c r="AE20" s="360">
        <f t="shared" si="5"/>
        <v>-1</v>
      </c>
      <c r="AG20" s="62">
        <f t="shared" si="6"/>
        <v>0</v>
      </c>
    </row>
    <row r="21" spans="3:33" s="10" customFormat="1" x14ac:dyDescent="0.25">
      <c r="E21" s="403"/>
      <c r="F21" s="398"/>
      <c r="J21" s="398">
        <f t="shared" si="0"/>
        <v>0</v>
      </c>
      <c r="K21" s="398"/>
      <c r="L21" s="398"/>
      <c r="M21" s="398"/>
      <c r="N21" s="398">
        <f t="shared" si="1"/>
        <v>0</v>
      </c>
      <c r="O21" s="398"/>
      <c r="P21" s="398"/>
      <c r="Q21" s="398"/>
      <c r="R21" s="398"/>
      <c r="S21" s="398"/>
      <c r="T21" s="398"/>
      <c r="U21" s="398"/>
      <c r="V21" s="398"/>
      <c r="W21" s="398"/>
      <c r="X21" s="398">
        <f t="shared" si="2"/>
        <v>0</v>
      </c>
      <c r="Y21" s="398"/>
      <c r="Z21" s="398"/>
      <c r="AA21" s="398"/>
      <c r="AB21" s="399">
        <f t="shared" si="9"/>
        <v>0</v>
      </c>
      <c r="AC21" s="399"/>
      <c r="AD21" s="398">
        <f t="shared" si="4"/>
        <v>0</v>
      </c>
      <c r="AE21" s="364" t="str">
        <f t="shared" si="5"/>
        <v/>
      </c>
      <c r="AG21" s="10">
        <f t="shared" si="6"/>
        <v>0</v>
      </c>
    </row>
    <row r="22" spans="3:33" x14ac:dyDescent="0.25">
      <c r="E22" s="386" t="s">
        <v>75</v>
      </c>
      <c r="F22" s="203"/>
      <c r="J22" s="203">
        <f t="shared" si="0"/>
        <v>0</v>
      </c>
      <c r="K22" s="203"/>
      <c r="L22" s="203"/>
      <c r="M22" s="203"/>
      <c r="N22" s="203">
        <f t="shared" si="1"/>
        <v>0</v>
      </c>
      <c r="O22" s="203"/>
      <c r="P22" s="203"/>
      <c r="Q22" s="203"/>
      <c r="R22" s="203"/>
      <c r="S22" s="203"/>
      <c r="T22" s="203"/>
      <c r="U22" s="203"/>
      <c r="V22" s="203"/>
      <c r="W22" s="203"/>
      <c r="X22" s="203">
        <f t="shared" si="2"/>
        <v>0</v>
      </c>
      <c r="Y22" s="203"/>
      <c r="Z22" s="203"/>
      <c r="AA22" s="203"/>
      <c r="AB22" s="387">
        <f t="shared" si="9"/>
        <v>0</v>
      </c>
      <c r="AC22" s="387"/>
      <c r="AD22" s="203">
        <f t="shared" si="4"/>
        <v>0</v>
      </c>
      <c r="AE22" s="238" t="str">
        <f t="shared" si="5"/>
        <v/>
      </c>
      <c r="AG22" s="62">
        <f t="shared" si="6"/>
        <v>0</v>
      </c>
    </row>
    <row r="23" spans="3:33" x14ac:dyDescent="0.25">
      <c r="E23" s="37" t="s">
        <v>93</v>
      </c>
      <c r="F23" s="46">
        <v>1328110</v>
      </c>
      <c r="J23" s="46">
        <f t="shared" si="0"/>
        <v>1328110</v>
      </c>
      <c r="K23" s="46">
        <v>1328110</v>
      </c>
      <c r="L23" s="46">
        <v>1328110</v>
      </c>
      <c r="M23" s="46"/>
      <c r="N23" s="46">
        <f t="shared" si="1"/>
        <v>0</v>
      </c>
      <c r="O23" s="46"/>
      <c r="P23" s="46"/>
      <c r="Q23" s="46"/>
      <c r="R23" s="46"/>
      <c r="S23" s="46"/>
      <c r="T23" s="46"/>
      <c r="U23" s="46"/>
      <c r="V23" s="46"/>
      <c r="W23" s="46"/>
      <c r="X23" s="46">
        <f t="shared" si="2"/>
        <v>0</v>
      </c>
      <c r="Y23" s="46">
        <v>1328110</v>
      </c>
      <c r="Z23" s="46"/>
      <c r="AA23" s="46"/>
      <c r="AB23" s="388">
        <f t="shared" si="9"/>
        <v>1328110</v>
      </c>
      <c r="AC23" s="388"/>
      <c r="AD23" s="46">
        <f t="shared" si="4"/>
        <v>-1328110</v>
      </c>
      <c r="AE23" s="144">
        <f t="shared" si="5"/>
        <v>-1</v>
      </c>
      <c r="AG23" s="62">
        <f t="shared" si="6"/>
        <v>0</v>
      </c>
    </row>
    <row r="24" spans="3:33" s="10" customFormat="1" x14ac:dyDescent="0.25">
      <c r="E24" s="392"/>
      <c r="F24" s="393"/>
      <c r="J24" s="393">
        <f t="shared" si="0"/>
        <v>0</v>
      </c>
      <c r="K24" s="393"/>
      <c r="L24" s="393"/>
      <c r="M24" s="393"/>
      <c r="N24" s="393">
        <f t="shared" si="1"/>
        <v>0</v>
      </c>
      <c r="O24" s="393"/>
      <c r="P24" s="393"/>
      <c r="Q24" s="393"/>
      <c r="R24" s="393"/>
      <c r="S24" s="393"/>
      <c r="T24" s="393"/>
      <c r="U24" s="393"/>
      <c r="V24" s="393"/>
      <c r="W24" s="393"/>
      <c r="X24" s="393">
        <f t="shared" si="2"/>
        <v>0</v>
      </c>
      <c r="Y24" s="393"/>
      <c r="Z24" s="393"/>
      <c r="AA24" s="393"/>
      <c r="AB24" s="394">
        <f t="shared" si="9"/>
        <v>0</v>
      </c>
      <c r="AC24" s="394"/>
      <c r="AD24" s="393">
        <f t="shared" si="4"/>
        <v>0</v>
      </c>
      <c r="AE24" s="390" t="str">
        <f t="shared" si="5"/>
        <v/>
      </c>
      <c r="AG24" s="10">
        <f t="shared" si="6"/>
        <v>0</v>
      </c>
    </row>
    <row r="25" spans="3:33" x14ac:dyDescent="0.25">
      <c r="C25" s="344"/>
      <c r="D25" s="344"/>
      <c r="E25" s="395" t="s">
        <v>94</v>
      </c>
      <c r="F25" s="203">
        <f>SUM(F26:F27)</f>
        <v>2881600</v>
      </c>
      <c r="H25" s="203">
        <f>SUM(H26:H27)</f>
        <v>90000</v>
      </c>
      <c r="J25" s="203">
        <f t="shared" si="0"/>
        <v>2971600</v>
      </c>
      <c r="K25" s="203">
        <f>SUM(K26:K27)</f>
        <v>2881600</v>
      </c>
      <c r="L25" s="203"/>
      <c r="M25" s="203"/>
      <c r="N25" s="203">
        <f t="shared" si="1"/>
        <v>2881600</v>
      </c>
      <c r="O25" s="203"/>
      <c r="P25" s="203"/>
      <c r="Q25" s="203"/>
      <c r="R25" s="203"/>
      <c r="S25" s="203"/>
      <c r="T25" s="203"/>
      <c r="U25" s="203"/>
      <c r="V25" s="203">
        <f>SUM(V26:V27)</f>
        <v>90000</v>
      </c>
      <c r="W25" s="203"/>
      <c r="X25" s="203">
        <f t="shared" si="2"/>
        <v>90000</v>
      </c>
      <c r="Y25" s="203"/>
      <c r="Z25" s="203"/>
      <c r="AA25" s="203"/>
      <c r="AB25" s="387">
        <f t="shared" si="9"/>
        <v>2971600</v>
      </c>
      <c r="AC25" s="387"/>
      <c r="AD25" s="203">
        <f t="shared" si="4"/>
        <v>-2971600</v>
      </c>
      <c r="AE25" s="238">
        <f t="shared" si="5"/>
        <v>-1</v>
      </c>
      <c r="AG25" s="62">
        <f t="shared" si="6"/>
        <v>0</v>
      </c>
    </row>
    <row r="26" spans="3:33" x14ac:dyDescent="0.25">
      <c r="E26" s="391" t="s">
        <v>131</v>
      </c>
      <c r="F26" s="204">
        <f>1341600+100000</f>
        <v>1441600</v>
      </c>
      <c r="H26" s="351">
        <v>90000</v>
      </c>
      <c r="J26" s="204">
        <f t="shared" si="0"/>
        <v>1531600</v>
      </c>
      <c r="K26" s="204">
        <f>1341600+100000</f>
        <v>1441600</v>
      </c>
      <c r="L26" s="204"/>
      <c r="M26" s="204"/>
      <c r="N26" s="204">
        <f t="shared" si="1"/>
        <v>1441600</v>
      </c>
      <c r="O26" s="204"/>
      <c r="P26" s="204"/>
      <c r="Q26" s="204"/>
      <c r="R26" s="204"/>
      <c r="S26" s="204"/>
      <c r="T26" s="204"/>
      <c r="U26" s="204"/>
      <c r="V26" s="204">
        <v>90000</v>
      </c>
      <c r="W26" s="204"/>
      <c r="X26" s="204">
        <f t="shared" si="2"/>
        <v>90000</v>
      </c>
      <c r="Y26" s="204"/>
      <c r="Z26" s="204"/>
      <c r="AA26" s="204"/>
      <c r="AB26" s="202">
        <f t="shared" si="9"/>
        <v>1531600</v>
      </c>
      <c r="AC26" s="202"/>
      <c r="AD26" s="204">
        <f t="shared" si="4"/>
        <v>-1531600</v>
      </c>
      <c r="AE26" s="349">
        <f t="shared" si="5"/>
        <v>-1</v>
      </c>
      <c r="AG26" s="62">
        <f t="shared" si="6"/>
        <v>0</v>
      </c>
    </row>
    <row r="27" spans="3:33" x14ac:dyDescent="0.25">
      <c r="E27" s="397" t="s">
        <v>132</v>
      </c>
      <c r="F27" s="204">
        <f>1272300+167700</f>
        <v>1440000</v>
      </c>
      <c r="J27" s="204">
        <f t="shared" si="0"/>
        <v>1440000</v>
      </c>
      <c r="K27" s="204">
        <f>1272300+167700</f>
        <v>1440000</v>
      </c>
      <c r="L27" s="204"/>
      <c r="M27" s="204"/>
      <c r="N27" s="204">
        <f t="shared" si="1"/>
        <v>1440000</v>
      </c>
      <c r="O27" s="204"/>
      <c r="P27" s="204"/>
      <c r="Q27" s="204"/>
      <c r="R27" s="204"/>
      <c r="S27" s="204"/>
      <c r="T27" s="204"/>
      <c r="U27" s="204"/>
      <c r="V27" s="204"/>
      <c r="W27" s="204"/>
      <c r="X27" s="204">
        <f t="shared" si="2"/>
        <v>0</v>
      </c>
      <c r="Y27" s="204"/>
      <c r="Z27" s="204"/>
      <c r="AA27" s="204"/>
      <c r="AB27" s="202">
        <f t="shared" si="9"/>
        <v>1440000</v>
      </c>
      <c r="AC27" s="202"/>
      <c r="AD27" s="204">
        <f t="shared" si="4"/>
        <v>-1440000</v>
      </c>
      <c r="AE27" s="349">
        <f t="shared" si="5"/>
        <v>-1</v>
      </c>
      <c r="AG27" s="62">
        <f t="shared" si="6"/>
        <v>0</v>
      </c>
    </row>
    <row r="28" spans="3:33" x14ac:dyDescent="0.25">
      <c r="E28" s="404"/>
      <c r="F28" s="405"/>
      <c r="J28" s="405">
        <f t="shared" si="0"/>
        <v>0</v>
      </c>
      <c r="K28" s="405"/>
      <c r="L28" s="405"/>
      <c r="M28" s="405"/>
      <c r="N28" s="405">
        <f t="shared" si="1"/>
        <v>0</v>
      </c>
      <c r="O28" s="405"/>
      <c r="P28" s="405"/>
      <c r="Q28" s="405"/>
      <c r="R28" s="405"/>
      <c r="S28" s="405"/>
      <c r="T28" s="405"/>
      <c r="U28" s="405"/>
      <c r="V28" s="405"/>
      <c r="W28" s="405"/>
      <c r="X28" s="405">
        <f t="shared" si="2"/>
        <v>0</v>
      </c>
      <c r="Y28" s="405"/>
      <c r="Z28" s="405"/>
      <c r="AA28" s="405"/>
      <c r="AB28" s="406">
        <f t="shared" si="9"/>
        <v>0</v>
      </c>
      <c r="AC28" s="406"/>
      <c r="AD28" s="405">
        <f t="shared" si="4"/>
        <v>0</v>
      </c>
      <c r="AE28" s="396" t="str">
        <f t="shared" si="5"/>
        <v/>
      </c>
      <c r="AG28" s="62">
        <f t="shared" si="6"/>
        <v>0</v>
      </c>
    </row>
    <row r="29" spans="3:33" ht="51" x14ac:dyDescent="0.25">
      <c r="E29" s="56" t="s">
        <v>347</v>
      </c>
      <c r="F29" s="47"/>
      <c r="J29" s="47">
        <f t="shared" si="0"/>
        <v>0</v>
      </c>
      <c r="K29" s="47"/>
      <c r="L29" s="47"/>
      <c r="M29" s="47"/>
      <c r="N29" s="47">
        <f t="shared" si="1"/>
        <v>0</v>
      </c>
      <c r="O29" s="47"/>
      <c r="P29" s="47"/>
      <c r="Q29" s="47"/>
      <c r="R29" s="47"/>
      <c r="S29" s="47"/>
      <c r="T29" s="47"/>
      <c r="U29" s="47"/>
      <c r="V29" s="47"/>
      <c r="W29" s="47"/>
      <c r="X29" s="47">
        <f t="shared" si="2"/>
        <v>0</v>
      </c>
      <c r="Y29" s="47"/>
      <c r="Z29" s="47"/>
      <c r="AA29" s="47"/>
      <c r="AB29" s="389">
        <f t="shared" si="9"/>
        <v>0</v>
      </c>
      <c r="AC29" s="389"/>
      <c r="AD29" s="47">
        <f t="shared" si="4"/>
        <v>0</v>
      </c>
      <c r="AE29" s="145" t="str">
        <f t="shared" si="5"/>
        <v/>
      </c>
      <c r="AG29" s="62">
        <f t="shared" si="6"/>
        <v>0</v>
      </c>
    </row>
    <row r="30" spans="3:33" s="10" customFormat="1" x14ac:dyDescent="0.25">
      <c r="E30" s="404"/>
      <c r="F30" s="405"/>
      <c r="J30" s="405">
        <f t="shared" si="0"/>
        <v>0</v>
      </c>
      <c r="K30" s="405"/>
      <c r="L30" s="405"/>
      <c r="M30" s="405"/>
      <c r="N30" s="405">
        <f t="shared" si="1"/>
        <v>0</v>
      </c>
      <c r="O30" s="405"/>
      <c r="P30" s="405"/>
      <c r="Q30" s="405"/>
      <c r="R30" s="405"/>
      <c r="S30" s="405"/>
      <c r="T30" s="405"/>
      <c r="U30" s="405"/>
      <c r="V30" s="405"/>
      <c r="W30" s="405"/>
      <c r="X30" s="405">
        <f t="shared" si="2"/>
        <v>0</v>
      </c>
      <c r="Y30" s="405"/>
      <c r="Z30" s="405"/>
      <c r="AA30" s="405"/>
      <c r="AB30" s="406">
        <f t="shared" si="9"/>
        <v>0</v>
      </c>
      <c r="AC30" s="406"/>
      <c r="AD30" s="405">
        <f t="shared" si="4"/>
        <v>0</v>
      </c>
      <c r="AE30" s="396" t="str">
        <f t="shared" si="5"/>
        <v/>
      </c>
      <c r="AG30" s="10">
        <f t="shared" si="6"/>
        <v>0</v>
      </c>
    </row>
    <row r="31" spans="3:33" x14ac:dyDescent="0.25">
      <c r="C31" s="344"/>
      <c r="D31" s="344"/>
      <c r="E31" s="395" t="s">
        <v>348</v>
      </c>
      <c r="F31" s="203">
        <v>1038787</v>
      </c>
      <c r="J31" s="203">
        <f t="shared" si="0"/>
        <v>1038787</v>
      </c>
      <c r="K31" s="203">
        <v>1038787</v>
      </c>
      <c r="L31" s="203"/>
      <c r="M31" s="203"/>
      <c r="N31" s="203">
        <f t="shared" si="1"/>
        <v>1038787</v>
      </c>
      <c r="O31" s="203"/>
      <c r="P31" s="203"/>
      <c r="Q31" s="203"/>
      <c r="R31" s="203"/>
      <c r="S31" s="203"/>
      <c r="T31" s="203"/>
      <c r="U31" s="203"/>
      <c r="V31" s="203"/>
      <c r="W31" s="203"/>
      <c r="X31" s="203">
        <f t="shared" ref="X31:X90" si="16">SUM(O31:W31)</f>
        <v>0</v>
      </c>
      <c r="Y31" s="203"/>
      <c r="Z31" s="203"/>
      <c r="AA31" s="203"/>
      <c r="AB31" s="387">
        <f t="shared" si="9"/>
        <v>1038787</v>
      </c>
      <c r="AC31" s="387"/>
      <c r="AD31" s="203">
        <f t="shared" si="4"/>
        <v>-1038787</v>
      </c>
      <c r="AE31" s="238">
        <f t="shared" si="5"/>
        <v>-1</v>
      </c>
      <c r="AG31" s="62">
        <f t="shared" si="6"/>
        <v>0</v>
      </c>
    </row>
    <row r="32" spans="3:33" s="10" customFormat="1" x14ac:dyDescent="0.25">
      <c r="E32" s="55"/>
      <c r="F32" s="46"/>
      <c r="J32" s="46">
        <f t="shared" si="0"/>
        <v>0</v>
      </c>
      <c r="K32" s="46"/>
      <c r="L32" s="46"/>
      <c r="M32" s="46"/>
      <c r="N32" s="46">
        <f t="shared" si="1"/>
        <v>0</v>
      </c>
      <c r="O32" s="46"/>
      <c r="P32" s="46"/>
      <c r="Q32" s="46"/>
      <c r="R32" s="46"/>
      <c r="S32" s="46"/>
      <c r="T32" s="46"/>
      <c r="U32" s="46"/>
      <c r="V32" s="46"/>
      <c r="W32" s="46"/>
      <c r="X32" s="46">
        <f t="shared" si="16"/>
        <v>0</v>
      </c>
      <c r="Y32" s="46"/>
      <c r="Z32" s="46"/>
      <c r="AA32" s="46"/>
      <c r="AB32" s="388">
        <f t="shared" si="9"/>
        <v>0</v>
      </c>
      <c r="AC32" s="388"/>
      <c r="AD32" s="46">
        <f t="shared" si="4"/>
        <v>0</v>
      </c>
      <c r="AE32" s="144" t="str">
        <f t="shared" si="5"/>
        <v/>
      </c>
      <c r="AG32" s="10">
        <f t="shared" si="6"/>
        <v>0</v>
      </c>
    </row>
    <row r="33" spans="1:33" x14ac:dyDescent="0.25">
      <c r="E33" s="336" t="s">
        <v>76</v>
      </c>
      <c r="F33" s="206">
        <f>SUM(F35,F38,F46,F52,F86,F88,F62,F57,F76)</f>
        <v>3499753</v>
      </c>
      <c r="G33" s="206">
        <f>SUM(G35,G38,G46,G52,G86,G88,G62,G57,G76)</f>
        <v>0</v>
      </c>
      <c r="H33" s="206">
        <f>SUM(H35,H38,H46,H52,H86,H88,H62,H57,H76,H67,H72,H81)</f>
        <v>463562</v>
      </c>
      <c r="I33" s="206">
        <f>SUM(I35,I38,I46,I52,I86,I88,I62,I57,I76)</f>
        <v>140128</v>
      </c>
      <c r="J33" s="206">
        <f t="shared" si="0"/>
        <v>4103443</v>
      </c>
      <c r="K33" s="206">
        <f>SUM(K35,K38,K46,K52,K86,K88,K62,K57,K76)</f>
        <v>3499753</v>
      </c>
      <c r="L33" s="206">
        <f>SUM(L35,L38,L46,L52,L86,L88,L62,L57,L76)</f>
        <v>39590</v>
      </c>
      <c r="M33" s="206">
        <f>SUM(M35,M38,M46,M52,M86,M88,M62,M57,M76)</f>
        <v>152276</v>
      </c>
      <c r="N33" s="206">
        <f t="shared" si="1"/>
        <v>3307887</v>
      </c>
      <c r="O33" s="206"/>
      <c r="P33" s="206"/>
      <c r="Q33" s="206"/>
      <c r="R33" s="206">
        <f>SUM(R35,R38,R46,R52,R86,R88,R62,R57,R76)</f>
        <v>176212</v>
      </c>
      <c r="S33" s="206"/>
      <c r="T33" s="206"/>
      <c r="U33" s="206"/>
      <c r="V33" s="206">
        <f>SUM(V35,V38,V46,V52,V86,V88,V62,V57,V76,V81)</f>
        <v>80000</v>
      </c>
      <c r="W33" s="206">
        <f>SUM(W35,W38,W46,W52,W86,W88,W62,W57,W76,W81)</f>
        <v>0</v>
      </c>
      <c r="X33" s="206">
        <f t="shared" si="16"/>
        <v>256212</v>
      </c>
      <c r="Y33" s="206">
        <f>SUM(Y35,Y38,Y46,Y52,Y86,Y88,Y62,Y57,Y76)</f>
        <v>39590</v>
      </c>
      <c r="Z33" s="206"/>
      <c r="AA33" s="206">
        <f>SUM(AA35,AA38,AA46,AA52,AA86,AA88,AA62,AA57,AA76,AA81)</f>
        <v>173289</v>
      </c>
      <c r="AB33" s="337">
        <f t="shared" si="9"/>
        <v>3776978</v>
      </c>
      <c r="AC33" s="337"/>
      <c r="AD33" s="206">
        <f t="shared" si="4"/>
        <v>-4103443</v>
      </c>
      <c r="AE33" s="238">
        <f t="shared" si="5"/>
        <v>-1</v>
      </c>
      <c r="AG33" s="62">
        <f t="shared" si="6"/>
        <v>0</v>
      </c>
    </row>
    <row r="34" spans="1:33" x14ac:dyDescent="0.25">
      <c r="E34" s="336"/>
      <c r="F34" s="206"/>
      <c r="J34" s="206">
        <f t="shared" si="0"/>
        <v>0</v>
      </c>
      <c r="K34" s="206"/>
      <c r="L34" s="206"/>
      <c r="M34" s="206"/>
      <c r="N34" s="206">
        <f t="shared" si="1"/>
        <v>0</v>
      </c>
      <c r="O34" s="206"/>
      <c r="P34" s="206"/>
      <c r="Q34" s="206"/>
      <c r="R34" s="206"/>
      <c r="S34" s="206"/>
      <c r="T34" s="206"/>
      <c r="U34" s="206"/>
      <c r="V34" s="206"/>
      <c r="W34" s="206"/>
      <c r="X34" s="206">
        <f t="shared" si="16"/>
        <v>0</v>
      </c>
      <c r="Y34" s="206"/>
      <c r="Z34" s="206"/>
      <c r="AA34" s="206"/>
      <c r="AB34" s="337">
        <f t="shared" si="9"/>
        <v>0</v>
      </c>
      <c r="AC34" s="337"/>
      <c r="AD34" s="206">
        <f t="shared" si="4"/>
        <v>0</v>
      </c>
      <c r="AE34" s="238" t="str">
        <f t="shared" si="5"/>
        <v/>
      </c>
      <c r="AG34" s="62">
        <f t="shared" si="6"/>
        <v>0</v>
      </c>
    </row>
    <row r="35" spans="1:33" x14ac:dyDescent="0.25">
      <c r="A35" s="62" t="s">
        <v>188</v>
      </c>
      <c r="B35" s="62" t="s">
        <v>189</v>
      </c>
      <c r="C35" s="344"/>
      <c r="D35" s="344"/>
      <c r="E35" s="352" t="s">
        <v>34</v>
      </c>
      <c r="F35" s="210">
        <f>1816684+112823</f>
        <v>1929507</v>
      </c>
      <c r="G35" s="19"/>
      <c r="H35" s="233">
        <v>-36046</v>
      </c>
      <c r="I35" s="19">
        <v>140128</v>
      </c>
      <c r="J35" s="210">
        <f t="shared" si="0"/>
        <v>2033589</v>
      </c>
      <c r="K35" s="210">
        <f>1816684+112823</f>
        <v>1929507</v>
      </c>
      <c r="L35" s="210"/>
      <c r="M35" s="210"/>
      <c r="N35" s="210">
        <f t="shared" si="1"/>
        <v>1929507</v>
      </c>
      <c r="O35" s="210"/>
      <c r="P35" s="210"/>
      <c r="Q35" s="210"/>
      <c r="R35" s="210">
        <f>140128+34228+1856</f>
        <v>176212</v>
      </c>
      <c r="S35" s="210"/>
      <c r="T35" s="210"/>
      <c r="U35" s="210"/>
      <c r="V35" s="210"/>
      <c r="W35" s="210"/>
      <c r="X35" s="210">
        <f t="shared" si="16"/>
        <v>176212</v>
      </c>
      <c r="Y35" s="210"/>
      <c r="Z35" s="210"/>
      <c r="AA35" s="210"/>
      <c r="AB35" s="353">
        <f t="shared" si="9"/>
        <v>2105719</v>
      </c>
      <c r="AC35" s="353"/>
      <c r="AD35" s="210">
        <f t="shared" si="4"/>
        <v>-2033589</v>
      </c>
      <c r="AE35" s="235">
        <f t="shared" si="5"/>
        <v>-1</v>
      </c>
      <c r="AG35" s="62">
        <f t="shared" si="6"/>
        <v>0</v>
      </c>
    </row>
    <row r="36" spans="1:33" x14ac:dyDescent="0.25">
      <c r="E36" s="209" t="s">
        <v>46</v>
      </c>
      <c r="F36" s="204">
        <f>1209883+83336</f>
        <v>1293219</v>
      </c>
      <c r="G36" s="348"/>
      <c r="H36" s="351">
        <v>-26940</v>
      </c>
      <c r="I36" s="348">
        <v>104729</v>
      </c>
      <c r="J36" s="204">
        <f t="shared" si="0"/>
        <v>1371008</v>
      </c>
      <c r="K36" s="204">
        <f>1209883+83336</f>
        <v>1293219</v>
      </c>
      <c r="L36" s="354"/>
      <c r="M36" s="204"/>
      <c r="N36" s="204">
        <f t="shared" si="1"/>
        <v>1293219</v>
      </c>
      <c r="O36" s="204"/>
      <c r="P36" s="204"/>
      <c r="Q36" s="204"/>
      <c r="R36" s="204">
        <f>104729+25581</f>
        <v>130310</v>
      </c>
      <c r="S36" s="204"/>
      <c r="T36" s="204"/>
      <c r="U36" s="204"/>
      <c r="V36" s="354"/>
      <c r="W36" s="354"/>
      <c r="X36" s="204">
        <f t="shared" si="16"/>
        <v>130310</v>
      </c>
      <c r="Y36" s="354"/>
      <c r="Z36" s="354"/>
      <c r="AA36" s="354"/>
      <c r="AB36" s="202">
        <f t="shared" si="9"/>
        <v>1423529</v>
      </c>
      <c r="AC36" s="202"/>
      <c r="AD36" s="204">
        <f t="shared" si="4"/>
        <v>-1371008</v>
      </c>
      <c r="AE36" s="349">
        <f t="shared" si="5"/>
        <v>-1</v>
      </c>
      <c r="AG36" s="62">
        <f t="shared" si="6"/>
        <v>0</v>
      </c>
    </row>
    <row r="37" spans="1:33" x14ac:dyDescent="0.25">
      <c r="E37" s="350"/>
      <c r="F37" s="207"/>
      <c r="H37" s="233"/>
      <c r="J37" s="207">
        <f t="shared" si="0"/>
        <v>0</v>
      </c>
      <c r="K37" s="207"/>
      <c r="L37" s="207"/>
      <c r="M37" s="207"/>
      <c r="N37" s="207">
        <f t="shared" si="1"/>
        <v>0</v>
      </c>
      <c r="O37" s="207"/>
      <c r="P37" s="207"/>
      <c r="Q37" s="207"/>
      <c r="R37" s="207"/>
      <c r="S37" s="207"/>
      <c r="T37" s="207"/>
      <c r="U37" s="207"/>
      <c r="V37" s="207"/>
      <c r="W37" s="207"/>
      <c r="X37" s="207">
        <f t="shared" si="16"/>
        <v>0</v>
      </c>
      <c r="Y37" s="207"/>
      <c r="Z37" s="207"/>
      <c r="AA37" s="207"/>
      <c r="AB37" s="339">
        <f t="shared" si="9"/>
        <v>0</v>
      </c>
      <c r="AC37" s="339"/>
      <c r="AD37" s="207">
        <f t="shared" si="4"/>
        <v>0</v>
      </c>
      <c r="AE37" s="141" t="str">
        <f t="shared" si="5"/>
        <v/>
      </c>
      <c r="AG37" s="62">
        <f t="shared" si="6"/>
        <v>0</v>
      </c>
    </row>
    <row r="38" spans="1:33" x14ac:dyDescent="0.25">
      <c r="A38" s="62" t="s">
        <v>188</v>
      </c>
      <c r="B38" s="62" t="s">
        <v>189</v>
      </c>
      <c r="C38" s="344"/>
      <c r="D38" s="344"/>
      <c r="E38" s="147" t="s">
        <v>118</v>
      </c>
      <c r="F38" s="214">
        <f>SUM(F39:F42)</f>
        <v>780000</v>
      </c>
      <c r="H38" s="233"/>
      <c r="J38" s="214">
        <f t="shared" si="0"/>
        <v>780000</v>
      </c>
      <c r="K38" s="214">
        <f>SUM(K39:K42)</f>
        <v>780000</v>
      </c>
      <c r="L38" s="214">
        <f>SUM(L39:L42)</f>
        <v>4000</v>
      </c>
      <c r="M38" s="214"/>
      <c r="N38" s="214">
        <f t="shared" si="1"/>
        <v>776000</v>
      </c>
      <c r="O38" s="214"/>
      <c r="P38" s="214"/>
      <c r="Q38" s="214"/>
      <c r="R38" s="214"/>
      <c r="S38" s="214"/>
      <c r="T38" s="214"/>
      <c r="U38" s="214"/>
      <c r="V38" s="214"/>
      <c r="W38" s="214"/>
      <c r="X38" s="214">
        <f t="shared" si="16"/>
        <v>0</v>
      </c>
      <c r="Y38" s="214">
        <f>SUM(Y39:Y42)</f>
        <v>4000</v>
      </c>
      <c r="Z38" s="214"/>
      <c r="AA38" s="214"/>
      <c r="AB38" s="316">
        <f t="shared" si="9"/>
        <v>780000</v>
      </c>
      <c r="AC38" s="316"/>
      <c r="AD38" s="214">
        <f t="shared" si="4"/>
        <v>-780000</v>
      </c>
      <c r="AE38" s="235">
        <f t="shared" si="5"/>
        <v>-1</v>
      </c>
      <c r="AG38" s="62">
        <f t="shared" si="6"/>
        <v>0</v>
      </c>
    </row>
    <row r="39" spans="1:33" x14ac:dyDescent="0.25">
      <c r="E39" s="368" t="s">
        <v>169</v>
      </c>
      <c r="F39" s="370">
        <v>320000</v>
      </c>
      <c r="H39" s="233"/>
      <c r="J39" s="370">
        <f t="shared" si="0"/>
        <v>320000</v>
      </c>
      <c r="K39" s="370">
        <v>320000</v>
      </c>
      <c r="L39" s="370">
        <v>4000</v>
      </c>
      <c r="M39" s="370"/>
      <c r="N39" s="370">
        <f t="shared" si="1"/>
        <v>316000</v>
      </c>
      <c r="O39" s="370"/>
      <c r="P39" s="370"/>
      <c r="Q39" s="370"/>
      <c r="R39" s="370"/>
      <c r="S39" s="370"/>
      <c r="T39" s="370"/>
      <c r="U39" s="370"/>
      <c r="V39" s="370"/>
      <c r="W39" s="370"/>
      <c r="X39" s="370">
        <f t="shared" si="16"/>
        <v>0</v>
      </c>
      <c r="Y39" s="370">
        <v>4000</v>
      </c>
      <c r="Z39" s="370"/>
      <c r="AA39" s="370"/>
      <c r="AB39" s="371">
        <f t="shared" si="9"/>
        <v>320000</v>
      </c>
      <c r="AC39" s="371"/>
      <c r="AD39" s="370">
        <f t="shared" si="4"/>
        <v>-320000</v>
      </c>
      <c r="AE39" s="372">
        <f t="shared" si="5"/>
        <v>-1</v>
      </c>
      <c r="AG39" s="62">
        <f t="shared" si="6"/>
        <v>0</v>
      </c>
    </row>
    <row r="40" spans="1:33" x14ac:dyDescent="0.25">
      <c r="E40" s="243" t="s">
        <v>95</v>
      </c>
      <c r="F40" s="374">
        <v>230000</v>
      </c>
      <c r="H40" s="233"/>
      <c r="J40" s="374">
        <f t="shared" si="0"/>
        <v>230000</v>
      </c>
      <c r="K40" s="374">
        <v>230000</v>
      </c>
      <c r="L40" s="374"/>
      <c r="M40" s="374"/>
      <c r="N40" s="374">
        <f t="shared" si="1"/>
        <v>230000</v>
      </c>
      <c r="O40" s="374"/>
      <c r="P40" s="374"/>
      <c r="Q40" s="374"/>
      <c r="R40" s="374"/>
      <c r="S40" s="374"/>
      <c r="T40" s="374"/>
      <c r="U40" s="374"/>
      <c r="V40" s="374"/>
      <c r="W40" s="374"/>
      <c r="X40" s="374">
        <f t="shared" si="16"/>
        <v>0</v>
      </c>
      <c r="Y40" s="374"/>
      <c r="Z40" s="374"/>
      <c r="AA40" s="374"/>
      <c r="AB40" s="375">
        <f t="shared" si="9"/>
        <v>230000</v>
      </c>
      <c r="AC40" s="375"/>
      <c r="AD40" s="374">
        <f t="shared" si="4"/>
        <v>-230000</v>
      </c>
      <c r="AE40" s="376">
        <f t="shared" si="5"/>
        <v>-1</v>
      </c>
      <c r="AG40" s="62">
        <f t="shared" si="6"/>
        <v>0</v>
      </c>
    </row>
    <row r="41" spans="1:33" x14ac:dyDescent="0.25">
      <c r="E41" s="243" t="s">
        <v>117</v>
      </c>
      <c r="F41" s="374">
        <v>160000</v>
      </c>
      <c r="H41" s="233"/>
      <c r="J41" s="374">
        <f t="shared" si="0"/>
        <v>160000</v>
      </c>
      <c r="K41" s="374">
        <v>160000</v>
      </c>
      <c r="L41" s="374"/>
      <c r="M41" s="374"/>
      <c r="N41" s="374">
        <f t="shared" si="1"/>
        <v>160000</v>
      </c>
      <c r="O41" s="374"/>
      <c r="P41" s="374"/>
      <c r="Q41" s="374"/>
      <c r="R41" s="374"/>
      <c r="S41" s="374"/>
      <c r="T41" s="374"/>
      <c r="U41" s="374"/>
      <c r="V41" s="374"/>
      <c r="W41" s="374"/>
      <c r="X41" s="374">
        <f t="shared" si="16"/>
        <v>0</v>
      </c>
      <c r="Y41" s="374"/>
      <c r="Z41" s="374"/>
      <c r="AA41" s="374"/>
      <c r="AB41" s="375">
        <f t="shared" si="9"/>
        <v>160000</v>
      </c>
      <c r="AC41" s="375"/>
      <c r="AD41" s="374">
        <f t="shared" si="4"/>
        <v>-160000</v>
      </c>
      <c r="AE41" s="376">
        <f t="shared" si="5"/>
        <v>-1</v>
      </c>
      <c r="AG41" s="62">
        <f t="shared" si="6"/>
        <v>0</v>
      </c>
    </row>
    <row r="42" spans="1:33" x14ac:dyDescent="0.25">
      <c r="E42" s="243" t="s">
        <v>96</v>
      </c>
      <c r="F42" s="374">
        <v>70000</v>
      </c>
      <c r="H42" s="233"/>
      <c r="J42" s="374">
        <f t="shared" si="0"/>
        <v>70000</v>
      </c>
      <c r="K42" s="374">
        <v>70000</v>
      </c>
      <c r="L42" s="374"/>
      <c r="M42" s="374"/>
      <c r="N42" s="374">
        <f t="shared" si="1"/>
        <v>70000</v>
      </c>
      <c r="O42" s="374"/>
      <c r="P42" s="374"/>
      <c r="Q42" s="374"/>
      <c r="R42" s="374"/>
      <c r="S42" s="374"/>
      <c r="T42" s="374"/>
      <c r="U42" s="374"/>
      <c r="V42" s="374"/>
      <c r="W42" s="374"/>
      <c r="X42" s="374">
        <f t="shared" si="16"/>
        <v>0</v>
      </c>
      <c r="Y42" s="374"/>
      <c r="Z42" s="374"/>
      <c r="AA42" s="374"/>
      <c r="AB42" s="375">
        <f t="shared" si="9"/>
        <v>70000</v>
      </c>
      <c r="AC42" s="375"/>
      <c r="AD42" s="374">
        <f t="shared" si="4"/>
        <v>-70000</v>
      </c>
      <c r="AE42" s="376">
        <f t="shared" si="5"/>
        <v>-1</v>
      </c>
      <c r="AG42" s="62">
        <f t="shared" si="6"/>
        <v>0</v>
      </c>
    </row>
    <row r="43" spans="1:33" x14ac:dyDescent="0.25">
      <c r="E43" s="243"/>
      <c r="F43" s="374"/>
      <c r="H43" s="233"/>
      <c r="J43" s="374">
        <f t="shared" si="0"/>
        <v>0</v>
      </c>
      <c r="K43" s="374"/>
      <c r="L43" s="374"/>
      <c r="M43" s="374"/>
      <c r="N43" s="374">
        <f t="shared" ref="N43:N90" si="17">K43-L43-M43</f>
        <v>0</v>
      </c>
      <c r="O43" s="374"/>
      <c r="P43" s="374"/>
      <c r="Q43" s="374"/>
      <c r="R43" s="374"/>
      <c r="S43" s="374"/>
      <c r="T43" s="374"/>
      <c r="U43" s="374"/>
      <c r="V43" s="374"/>
      <c r="W43" s="374"/>
      <c r="X43" s="374">
        <f t="shared" si="16"/>
        <v>0</v>
      </c>
      <c r="Y43" s="374"/>
      <c r="Z43" s="374"/>
      <c r="AA43" s="374"/>
      <c r="AB43" s="375">
        <f t="shared" si="9"/>
        <v>0</v>
      </c>
      <c r="AC43" s="375"/>
      <c r="AD43" s="374">
        <f t="shared" si="4"/>
        <v>0</v>
      </c>
      <c r="AE43" s="376" t="str">
        <f t="shared" si="5"/>
        <v/>
      </c>
      <c r="AG43" s="62">
        <f t="shared" si="6"/>
        <v>0</v>
      </c>
    </row>
    <row r="44" spans="1:33" x14ac:dyDescent="0.25">
      <c r="E44" s="401" t="s">
        <v>100</v>
      </c>
      <c r="F44" s="370"/>
      <c r="H44" s="233"/>
      <c r="J44" s="370">
        <f t="shared" si="0"/>
        <v>0</v>
      </c>
      <c r="K44" s="370"/>
      <c r="L44" s="370"/>
      <c r="M44" s="370"/>
      <c r="N44" s="370">
        <f t="shared" si="17"/>
        <v>0</v>
      </c>
      <c r="O44" s="370"/>
      <c r="P44" s="370"/>
      <c r="Q44" s="370"/>
      <c r="R44" s="370"/>
      <c r="S44" s="370"/>
      <c r="T44" s="370"/>
      <c r="U44" s="370"/>
      <c r="V44" s="370"/>
      <c r="W44" s="370"/>
      <c r="X44" s="370">
        <f t="shared" si="16"/>
        <v>0</v>
      </c>
      <c r="Y44" s="370"/>
      <c r="Z44" s="370"/>
      <c r="AA44" s="370"/>
      <c r="AB44" s="371">
        <f t="shared" si="9"/>
        <v>0</v>
      </c>
      <c r="AC44" s="371"/>
      <c r="AD44" s="370">
        <f t="shared" si="4"/>
        <v>0</v>
      </c>
      <c r="AE44" s="372" t="str">
        <f t="shared" si="5"/>
        <v/>
      </c>
      <c r="AG44" s="62">
        <f t="shared" si="6"/>
        <v>0</v>
      </c>
    </row>
    <row r="45" spans="1:33" x14ac:dyDescent="0.25">
      <c r="E45" s="373"/>
      <c r="F45" s="374"/>
      <c r="H45" s="233"/>
      <c r="J45" s="374">
        <f t="shared" si="0"/>
        <v>0</v>
      </c>
      <c r="K45" s="374"/>
      <c r="L45" s="374"/>
      <c r="M45" s="374"/>
      <c r="N45" s="374">
        <f t="shared" si="17"/>
        <v>0</v>
      </c>
      <c r="O45" s="374"/>
      <c r="P45" s="374"/>
      <c r="Q45" s="374"/>
      <c r="R45" s="374"/>
      <c r="S45" s="374"/>
      <c r="T45" s="374"/>
      <c r="U45" s="374"/>
      <c r="V45" s="374"/>
      <c r="W45" s="374"/>
      <c r="X45" s="374">
        <f t="shared" si="16"/>
        <v>0</v>
      </c>
      <c r="Y45" s="374"/>
      <c r="Z45" s="374"/>
      <c r="AA45" s="374"/>
      <c r="AB45" s="375">
        <f t="shared" si="9"/>
        <v>0</v>
      </c>
      <c r="AC45" s="375"/>
      <c r="AD45" s="374">
        <f t="shared" si="4"/>
        <v>0</v>
      </c>
      <c r="AE45" s="376" t="str">
        <f t="shared" si="5"/>
        <v/>
      </c>
      <c r="AG45" s="62">
        <f t="shared" si="6"/>
        <v>0</v>
      </c>
    </row>
    <row r="46" spans="1:33" x14ac:dyDescent="0.25">
      <c r="A46" s="62" t="s">
        <v>188</v>
      </c>
      <c r="B46" s="62" t="s">
        <v>189</v>
      </c>
      <c r="C46" s="344"/>
      <c r="D46" s="344"/>
      <c r="E46" s="345" t="s">
        <v>349</v>
      </c>
      <c r="F46" s="346">
        <f>SUM(F47:F48)</f>
        <v>269320</v>
      </c>
      <c r="H46" s="346">
        <f>SUM(H47:H48)</f>
        <v>0</v>
      </c>
      <c r="J46" s="346">
        <f t="shared" si="0"/>
        <v>269320</v>
      </c>
      <c r="K46" s="346">
        <f>SUM(K47:K48)</f>
        <v>269320</v>
      </c>
      <c r="L46" s="346">
        <f>SUM(L47:L48)</f>
        <v>21300</v>
      </c>
      <c r="M46" s="346"/>
      <c r="N46" s="346">
        <f t="shared" si="17"/>
        <v>248020</v>
      </c>
      <c r="O46" s="346"/>
      <c r="P46" s="346"/>
      <c r="Q46" s="346"/>
      <c r="R46" s="346"/>
      <c r="S46" s="346"/>
      <c r="T46" s="346"/>
      <c r="U46" s="346"/>
      <c r="V46" s="346"/>
      <c r="W46" s="346"/>
      <c r="X46" s="346">
        <f t="shared" si="16"/>
        <v>0</v>
      </c>
      <c r="Y46" s="346">
        <f>SUM(Y47:Y48)</f>
        <v>21300</v>
      </c>
      <c r="Z46" s="346"/>
      <c r="AA46" s="346"/>
      <c r="AB46" s="347">
        <f t="shared" si="9"/>
        <v>269320</v>
      </c>
      <c r="AC46" s="347"/>
      <c r="AD46" s="346">
        <f t="shared" si="4"/>
        <v>-269320</v>
      </c>
      <c r="AE46" s="235">
        <f t="shared" si="5"/>
        <v>-1</v>
      </c>
      <c r="AG46" s="62">
        <f t="shared" si="6"/>
        <v>0</v>
      </c>
    </row>
    <row r="47" spans="1:33" x14ac:dyDescent="0.25">
      <c r="E47" s="368" t="s">
        <v>170</v>
      </c>
      <c r="F47" s="370">
        <v>254320</v>
      </c>
      <c r="H47" s="400">
        <v>-7100</v>
      </c>
      <c r="J47" s="370">
        <f t="shared" si="0"/>
        <v>247220</v>
      </c>
      <c r="K47" s="370">
        <v>254320</v>
      </c>
      <c r="L47" s="370">
        <v>21300</v>
      </c>
      <c r="M47" s="370"/>
      <c r="N47" s="370">
        <f t="shared" si="17"/>
        <v>233020</v>
      </c>
      <c r="O47" s="370"/>
      <c r="P47" s="370"/>
      <c r="Q47" s="370"/>
      <c r="R47" s="370"/>
      <c r="S47" s="370"/>
      <c r="T47" s="370"/>
      <c r="U47" s="370"/>
      <c r="V47" s="370"/>
      <c r="W47" s="370"/>
      <c r="X47" s="370">
        <f t="shared" si="16"/>
        <v>0</v>
      </c>
      <c r="Y47" s="370">
        <v>21300</v>
      </c>
      <c r="Z47" s="370"/>
      <c r="AA47" s="370"/>
      <c r="AB47" s="371">
        <f t="shared" si="9"/>
        <v>254320</v>
      </c>
      <c r="AC47" s="371"/>
      <c r="AD47" s="370">
        <f t="shared" si="4"/>
        <v>-247220</v>
      </c>
      <c r="AE47" s="372">
        <f t="shared" si="5"/>
        <v>-1</v>
      </c>
      <c r="AG47" s="62">
        <f t="shared" si="6"/>
        <v>0</v>
      </c>
    </row>
    <row r="48" spans="1:33" x14ac:dyDescent="0.25">
      <c r="E48" s="369" t="s">
        <v>97</v>
      </c>
      <c r="F48" s="370">
        <v>15000</v>
      </c>
      <c r="H48" s="400">
        <v>7100</v>
      </c>
      <c r="J48" s="370">
        <f t="shared" si="0"/>
        <v>22100</v>
      </c>
      <c r="K48" s="370">
        <v>15000</v>
      </c>
      <c r="L48" s="370"/>
      <c r="M48" s="370"/>
      <c r="N48" s="370">
        <f t="shared" si="17"/>
        <v>15000</v>
      </c>
      <c r="O48" s="370"/>
      <c r="P48" s="370"/>
      <c r="Q48" s="370"/>
      <c r="R48" s="370"/>
      <c r="S48" s="370"/>
      <c r="T48" s="370"/>
      <c r="U48" s="370"/>
      <c r="V48" s="370"/>
      <c r="W48" s="370"/>
      <c r="X48" s="370">
        <f t="shared" si="16"/>
        <v>0</v>
      </c>
      <c r="Y48" s="370"/>
      <c r="Z48" s="370"/>
      <c r="AA48" s="370"/>
      <c r="AB48" s="371">
        <f t="shared" si="9"/>
        <v>15000</v>
      </c>
      <c r="AC48" s="371"/>
      <c r="AD48" s="370">
        <f t="shared" si="4"/>
        <v>-22100</v>
      </c>
      <c r="AE48" s="372">
        <f t="shared" si="5"/>
        <v>-1</v>
      </c>
      <c r="AG48" s="62">
        <f t="shared" si="6"/>
        <v>0</v>
      </c>
    </row>
    <row r="49" spans="1:33" x14ac:dyDescent="0.25">
      <c r="E49" s="369"/>
      <c r="F49" s="370"/>
      <c r="H49" s="233"/>
      <c r="J49" s="370">
        <f t="shared" si="0"/>
        <v>0</v>
      </c>
      <c r="K49" s="370"/>
      <c r="L49" s="370"/>
      <c r="M49" s="370"/>
      <c r="N49" s="370">
        <f t="shared" si="17"/>
        <v>0</v>
      </c>
      <c r="O49" s="370"/>
      <c r="P49" s="370"/>
      <c r="Q49" s="370"/>
      <c r="R49" s="370"/>
      <c r="S49" s="370"/>
      <c r="T49" s="370"/>
      <c r="U49" s="370"/>
      <c r="V49" s="370"/>
      <c r="W49" s="370"/>
      <c r="X49" s="370">
        <f t="shared" si="16"/>
        <v>0</v>
      </c>
      <c r="Y49" s="370"/>
      <c r="Z49" s="370"/>
      <c r="AA49" s="370"/>
      <c r="AB49" s="371">
        <f t="shared" si="9"/>
        <v>0</v>
      </c>
      <c r="AC49" s="371"/>
      <c r="AD49" s="370">
        <f t="shared" si="4"/>
        <v>0</v>
      </c>
      <c r="AE49" s="372" t="str">
        <f t="shared" si="5"/>
        <v/>
      </c>
      <c r="AG49" s="62">
        <f t="shared" si="6"/>
        <v>0</v>
      </c>
    </row>
    <row r="50" spans="1:33" x14ac:dyDescent="0.25">
      <c r="E50" s="401" t="s">
        <v>100</v>
      </c>
      <c r="F50" s="370"/>
      <c r="H50" s="233"/>
      <c r="J50" s="370">
        <f t="shared" si="0"/>
        <v>0</v>
      </c>
      <c r="K50" s="370"/>
      <c r="L50" s="370"/>
      <c r="M50" s="370"/>
      <c r="N50" s="370">
        <f t="shared" si="17"/>
        <v>0</v>
      </c>
      <c r="O50" s="370"/>
      <c r="P50" s="370"/>
      <c r="Q50" s="370"/>
      <c r="R50" s="370"/>
      <c r="S50" s="370"/>
      <c r="T50" s="370"/>
      <c r="U50" s="370"/>
      <c r="V50" s="370"/>
      <c r="W50" s="370"/>
      <c r="X50" s="370">
        <f t="shared" si="16"/>
        <v>0</v>
      </c>
      <c r="Y50" s="370"/>
      <c r="Z50" s="370"/>
      <c r="AA50" s="370"/>
      <c r="AB50" s="371">
        <f t="shared" si="9"/>
        <v>0</v>
      </c>
      <c r="AC50" s="371"/>
      <c r="AD50" s="370">
        <f t="shared" si="4"/>
        <v>0</v>
      </c>
      <c r="AE50" s="372" t="str">
        <f t="shared" si="5"/>
        <v/>
      </c>
      <c r="AG50" s="62">
        <f t="shared" si="6"/>
        <v>0</v>
      </c>
    </row>
    <row r="51" spans="1:33" x14ac:dyDescent="0.25">
      <c r="E51" s="336"/>
      <c r="F51" s="206"/>
      <c r="H51" s="233"/>
      <c r="J51" s="206">
        <f t="shared" si="0"/>
        <v>0</v>
      </c>
      <c r="K51" s="206"/>
      <c r="L51" s="206"/>
      <c r="M51" s="206"/>
      <c r="N51" s="206">
        <f t="shared" si="17"/>
        <v>0</v>
      </c>
      <c r="O51" s="206"/>
      <c r="P51" s="206"/>
      <c r="Q51" s="206"/>
      <c r="R51" s="206"/>
      <c r="S51" s="206"/>
      <c r="T51" s="206"/>
      <c r="U51" s="206"/>
      <c r="V51" s="206"/>
      <c r="W51" s="206"/>
      <c r="X51" s="206">
        <f t="shared" si="16"/>
        <v>0</v>
      </c>
      <c r="Y51" s="206"/>
      <c r="Z51" s="206"/>
      <c r="AA51" s="206"/>
      <c r="AB51" s="337">
        <f t="shared" si="9"/>
        <v>0</v>
      </c>
      <c r="AC51" s="337"/>
      <c r="AD51" s="206">
        <f t="shared" si="4"/>
        <v>0</v>
      </c>
      <c r="AE51" s="238" t="str">
        <f t="shared" si="5"/>
        <v/>
      </c>
      <c r="AG51" s="62">
        <f t="shared" si="6"/>
        <v>0</v>
      </c>
    </row>
    <row r="52" spans="1:33" x14ac:dyDescent="0.25">
      <c r="A52" s="62" t="s">
        <v>188</v>
      </c>
      <c r="B52" s="62" t="s">
        <v>189</v>
      </c>
      <c r="C52" s="344"/>
      <c r="D52" s="344"/>
      <c r="E52" s="345" t="s">
        <v>98</v>
      </c>
      <c r="F52" s="346">
        <f>SUM(F53:F55)</f>
        <v>304284</v>
      </c>
      <c r="H52" s="346">
        <f>SUM(H53:H55)</f>
        <v>55000</v>
      </c>
      <c r="J52" s="346">
        <f t="shared" si="0"/>
        <v>359284</v>
      </c>
      <c r="K52" s="346">
        <f>SUM(K53:K55)</f>
        <v>304284</v>
      </c>
      <c r="L52" s="346"/>
      <c r="M52" s="346"/>
      <c r="N52" s="346">
        <f t="shared" si="17"/>
        <v>304284</v>
      </c>
      <c r="O52" s="346"/>
      <c r="P52" s="346"/>
      <c r="Q52" s="346"/>
      <c r="R52" s="346"/>
      <c r="S52" s="346"/>
      <c r="T52" s="346"/>
      <c r="U52" s="346"/>
      <c r="V52" s="346">
        <f>SUM(V53:V55)</f>
        <v>366</v>
      </c>
      <c r="W52" s="346">
        <f>SUM(W53:W55)</f>
        <v>0</v>
      </c>
      <c r="X52" s="346">
        <f t="shared" si="16"/>
        <v>366</v>
      </c>
      <c r="Y52" s="346"/>
      <c r="Z52" s="346"/>
      <c r="AA52" s="346"/>
      <c r="AB52" s="347">
        <f t="shared" si="9"/>
        <v>304650</v>
      </c>
      <c r="AC52" s="347"/>
      <c r="AD52" s="346">
        <f t="shared" si="4"/>
        <v>-359284</v>
      </c>
      <c r="AE52" s="235">
        <f t="shared" si="5"/>
        <v>-1</v>
      </c>
      <c r="AG52" s="62">
        <f t="shared" si="6"/>
        <v>0</v>
      </c>
    </row>
    <row r="53" spans="1:33" x14ac:dyDescent="0.25">
      <c r="E53" s="368" t="s">
        <v>171</v>
      </c>
      <c r="F53" s="370">
        <f>83000+50000</f>
        <v>133000</v>
      </c>
      <c r="H53" s="400">
        <v>55000</v>
      </c>
      <c r="J53" s="370">
        <f t="shared" si="0"/>
        <v>188000</v>
      </c>
      <c r="K53" s="370">
        <f>83000+50000</f>
        <v>133000</v>
      </c>
      <c r="L53" s="370"/>
      <c r="M53" s="370"/>
      <c r="N53" s="370">
        <f t="shared" si="17"/>
        <v>133000</v>
      </c>
      <c r="O53" s="370"/>
      <c r="P53" s="370"/>
      <c r="Q53" s="370"/>
      <c r="R53" s="370"/>
      <c r="S53" s="370"/>
      <c r="T53" s="370"/>
      <c r="U53" s="370"/>
      <c r="V53" s="370"/>
      <c r="W53" s="370"/>
      <c r="X53" s="370">
        <f t="shared" si="16"/>
        <v>0</v>
      </c>
      <c r="Y53" s="370"/>
      <c r="Z53" s="370"/>
      <c r="AA53" s="370"/>
      <c r="AB53" s="371">
        <f t="shared" si="9"/>
        <v>133000</v>
      </c>
      <c r="AC53" s="371"/>
      <c r="AD53" s="370">
        <f t="shared" si="4"/>
        <v>-188000</v>
      </c>
      <c r="AE53" s="372">
        <f t="shared" si="5"/>
        <v>-1</v>
      </c>
      <c r="AG53" s="62">
        <f t="shared" si="6"/>
        <v>0</v>
      </c>
    </row>
    <row r="54" spans="1:33" x14ac:dyDescent="0.25">
      <c r="E54" s="369" t="s">
        <v>350</v>
      </c>
      <c r="F54" s="370">
        <v>128284</v>
      </c>
      <c r="J54" s="370">
        <f t="shared" si="0"/>
        <v>128284</v>
      </c>
      <c r="K54" s="370">
        <v>128284</v>
      </c>
      <c r="L54" s="370"/>
      <c r="M54" s="370"/>
      <c r="N54" s="370">
        <f t="shared" si="17"/>
        <v>128284</v>
      </c>
      <c r="O54" s="370"/>
      <c r="P54" s="370"/>
      <c r="Q54" s="370"/>
      <c r="R54" s="370"/>
      <c r="S54" s="370"/>
      <c r="T54" s="370"/>
      <c r="U54" s="370"/>
      <c r="V54" s="370">
        <v>366</v>
      </c>
      <c r="W54" s="370"/>
      <c r="X54" s="370">
        <f t="shared" si="16"/>
        <v>366</v>
      </c>
      <c r="Y54" s="370"/>
      <c r="Z54" s="370"/>
      <c r="AA54" s="370"/>
      <c r="AB54" s="371">
        <f t="shared" si="9"/>
        <v>128650</v>
      </c>
      <c r="AC54" s="371"/>
      <c r="AD54" s="370">
        <f t="shared" si="4"/>
        <v>-128284</v>
      </c>
      <c r="AE54" s="372">
        <f t="shared" si="5"/>
        <v>-1</v>
      </c>
      <c r="AG54" s="62">
        <f t="shared" si="6"/>
        <v>0</v>
      </c>
    </row>
    <row r="55" spans="1:33" x14ac:dyDescent="0.25">
      <c r="E55" s="369" t="s">
        <v>99</v>
      </c>
      <c r="F55" s="370">
        <f>13000+30000</f>
        <v>43000</v>
      </c>
      <c r="J55" s="370">
        <f t="shared" si="0"/>
        <v>43000</v>
      </c>
      <c r="K55" s="370">
        <f>13000+30000</f>
        <v>43000</v>
      </c>
      <c r="L55" s="370"/>
      <c r="M55" s="370"/>
      <c r="N55" s="370">
        <f t="shared" si="17"/>
        <v>43000</v>
      </c>
      <c r="O55" s="370"/>
      <c r="P55" s="370"/>
      <c r="Q55" s="370"/>
      <c r="R55" s="370"/>
      <c r="S55" s="370"/>
      <c r="T55" s="370"/>
      <c r="U55" s="370"/>
      <c r="V55" s="370"/>
      <c r="W55" s="370"/>
      <c r="X55" s="370">
        <f t="shared" si="16"/>
        <v>0</v>
      </c>
      <c r="Y55" s="370"/>
      <c r="Z55" s="370"/>
      <c r="AA55" s="370"/>
      <c r="AB55" s="371">
        <f t="shared" si="9"/>
        <v>43000</v>
      </c>
      <c r="AC55" s="371"/>
      <c r="AD55" s="370">
        <f t="shared" si="4"/>
        <v>-43000</v>
      </c>
      <c r="AE55" s="372">
        <f t="shared" si="5"/>
        <v>-1</v>
      </c>
      <c r="AG55" s="62">
        <f t="shared" si="6"/>
        <v>0</v>
      </c>
    </row>
    <row r="56" spans="1:33" x14ac:dyDescent="0.25">
      <c r="E56" s="381"/>
      <c r="F56" s="205"/>
      <c r="J56" s="205">
        <f t="shared" si="0"/>
        <v>0</v>
      </c>
      <c r="K56" s="205"/>
      <c r="L56" s="205"/>
      <c r="M56" s="205"/>
      <c r="N56" s="205">
        <f t="shared" si="17"/>
        <v>0</v>
      </c>
      <c r="O56" s="205"/>
      <c r="P56" s="205"/>
      <c r="Q56" s="205"/>
      <c r="R56" s="205"/>
      <c r="S56" s="205"/>
      <c r="T56" s="205"/>
      <c r="U56" s="205"/>
      <c r="V56" s="205"/>
      <c r="W56" s="205"/>
      <c r="X56" s="205">
        <f t="shared" si="16"/>
        <v>0</v>
      </c>
      <c r="Y56" s="205"/>
      <c r="Z56" s="205"/>
      <c r="AA56" s="205"/>
      <c r="AB56" s="359">
        <f t="shared" si="9"/>
        <v>0</v>
      </c>
      <c r="AC56" s="359"/>
      <c r="AD56" s="205">
        <f t="shared" si="4"/>
        <v>0</v>
      </c>
      <c r="AE56" s="360" t="str">
        <f t="shared" si="5"/>
        <v/>
      </c>
      <c r="AG56" s="62">
        <f t="shared" si="6"/>
        <v>0</v>
      </c>
    </row>
    <row r="57" spans="1:33" x14ac:dyDescent="0.25">
      <c r="A57" s="62" t="s">
        <v>188</v>
      </c>
      <c r="B57" s="62" t="s">
        <v>189</v>
      </c>
      <c r="C57" s="344"/>
      <c r="D57" s="344"/>
      <c r="E57" s="365" t="s">
        <v>172</v>
      </c>
      <c r="F57" s="366">
        <v>2442</v>
      </c>
      <c r="J57" s="366">
        <f t="shared" si="0"/>
        <v>2442</v>
      </c>
      <c r="K57" s="366">
        <v>2442</v>
      </c>
      <c r="L57" s="366"/>
      <c r="M57" s="366">
        <v>2076</v>
      </c>
      <c r="N57" s="366">
        <f t="shared" si="17"/>
        <v>366</v>
      </c>
      <c r="O57" s="366"/>
      <c r="P57" s="366"/>
      <c r="Q57" s="366"/>
      <c r="R57" s="366"/>
      <c r="S57" s="366"/>
      <c r="T57" s="366"/>
      <c r="U57" s="366"/>
      <c r="V57" s="366">
        <v>-366</v>
      </c>
      <c r="W57" s="366"/>
      <c r="X57" s="366">
        <f t="shared" si="16"/>
        <v>-366</v>
      </c>
      <c r="Y57" s="366"/>
      <c r="Z57" s="366"/>
      <c r="AA57" s="366"/>
      <c r="AB57" s="367">
        <f t="shared" si="9"/>
        <v>0</v>
      </c>
      <c r="AC57" s="367"/>
      <c r="AD57" s="366">
        <f t="shared" si="4"/>
        <v>-2442</v>
      </c>
      <c r="AE57" s="358">
        <f t="shared" si="5"/>
        <v>-1</v>
      </c>
      <c r="AG57" s="62">
        <f t="shared" si="6"/>
        <v>0</v>
      </c>
    </row>
    <row r="58" spans="1:33" x14ac:dyDescent="0.25">
      <c r="E58" s="209" t="s">
        <v>46</v>
      </c>
      <c r="F58" s="204">
        <v>1825</v>
      </c>
      <c r="H58" s="256"/>
      <c r="J58" s="204">
        <f t="shared" si="0"/>
        <v>1825</v>
      </c>
      <c r="K58" s="204">
        <v>1825</v>
      </c>
      <c r="L58" s="354"/>
      <c r="M58" s="204">
        <v>1825</v>
      </c>
      <c r="N58" s="204">
        <f t="shared" si="17"/>
        <v>0</v>
      </c>
      <c r="O58" s="204"/>
      <c r="P58" s="204"/>
      <c r="Q58" s="204"/>
      <c r="R58" s="354"/>
      <c r="S58" s="204"/>
      <c r="T58" s="204"/>
      <c r="U58" s="204"/>
      <c r="V58" s="354"/>
      <c r="W58" s="354"/>
      <c r="X58" s="204">
        <f t="shared" si="16"/>
        <v>0</v>
      </c>
      <c r="Y58" s="354"/>
      <c r="Z58" s="354"/>
      <c r="AA58" s="354"/>
      <c r="AB58" s="202">
        <f t="shared" si="9"/>
        <v>0</v>
      </c>
      <c r="AC58" s="202"/>
      <c r="AD58" s="204">
        <f t="shared" si="4"/>
        <v>-1825</v>
      </c>
      <c r="AE58" s="349">
        <f t="shared" si="5"/>
        <v>-1</v>
      </c>
      <c r="AG58" s="62">
        <f t="shared" si="6"/>
        <v>0</v>
      </c>
    </row>
    <row r="59" spans="1:33" x14ac:dyDescent="0.25">
      <c r="E59" s="361"/>
      <c r="F59" s="362"/>
      <c r="J59" s="362">
        <f t="shared" si="0"/>
        <v>0</v>
      </c>
      <c r="K59" s="362"/>
      <c r="L59" s="362"/>
      <c r="M59" s="362"/>
      <c r="N59" s="362">
        <f t="shared" si="17"/>
        <v>0</v>
      </c>
      <c r="O59" s="362"/>
      <c r="P59" s="362"/>
      <c r="Q59" s="362"/>
      <c r="R59" s="362"/>
      <c r="S59" s="362"/>
      <c r="T59" s="362"/>
      <c r="U59" s="362"/>
      <c r="V59" s="362"/>
      <c r="W59" s="362"/>
      <c r="X59" s="362">
        <f t="shared" si="16"/>
        <v>0</v>
      </c>
      <c r="Y59" s="362"/>
      <c r="Z59" s="362"/>
      <c r="AA59" s="362"/>
      <c r="AB59" s="363">
        <f t="shared" si="9"/>
        <v>0</v>
      </c>
      <c r="AC59" s="363"/>
      <c r="AD59" s="362">
        <f t="shared" si="4"/>
        <v>0</v>
      </c>
      <c r="AE59" s="364" t="str">
        <f t="shared" si="5"/>
        <v/>
      </c>
      <c r="AG59" s="62">
        <f t="shared" si="6"/>
        <v>0</v>
      </c>
    </row>
    <row r="60" spans="1:33" x14ac:dyDescent="0.25">
      <c r="E60" s="381" t="s">
        <v>86</v>
      </c>
      <c r="F60" s="205">
        <v>2076</v>
      </c>
      <c r="J60" s="205">
        <f t="shared" si="0"/>
        <v>2076</v>
      </c>
      <c r="K60" s="205">
        <v>2076</v>
      </c>
      <c r="L60" s="205"/>
      <c r="M60" s="205">
        <v>2076</v>
      </c>
      <c r="N60" s="205">
        <f t="shared" si="17"/>
        <v>0</v>
      </c>
      <c r="O60" s="205"/>
      <c r="P60" s="205"/>
      <c r="Q60" s="205"/>
      <c r="R60" s="205"/>
      <c r="S60" s="205"/>
      <c r="T60" s="205"/>
      <c r="U60" s="205"/>
      <c r="V60" s="205"/>
      <c r="W60" s="205"/>
      <c r="X60" s="205">
        <f t="shared" si="16"/>
        <v>0</v>
      </c>
      <c r="Y60" s="205"/>
      <c r="Z60" s="205"/>
      <c r="AA60" s="205"/>
      <c r="AB60" s="359">
        <f t="shared" si="9"/>
        <v>0</v>
      </c>
      <c r="AC60" s="359"/>
      <c r="AD60" s="205">
        <f t="shared" si="4"/>
        <v>-2076</v>
      </c>
      <c r="AE60" s="360">
        <f t="shared" si="5"/>
        <v>-1</v>
      </c>
      <c r="AG60" s="62">
        <f t="shared" si="6"/>
        <v>0</v>
      </c>
    </row>
    <row r="61" spans="1:33" x14ac:dyDescent="0.25">
      <c r="E61" s="209"/>
      <c r="F61" s="204"/>
      <c r="J61" s="204">
        <f t="shared" si="0"/>
        <v>0</v>
      </c>
      <c r="K61" s="204"/>
      <c r="L61" s="204"/>
      <c r="M61" s="204"/>
      <c r="N61" s="204">
        <f t="shared" si="17"/>
        <v>0</v>
      </c>
      <c r="O61" s="204"/>
      <c r="P61" s="204"/>
      <c r="Q61" s="204"/>
      <c r="R61" s="204"/>
      <c r="S61" s="204"/>
      <c r="T61" s="204"/>
      <c r="U61" s="204"/>
      <c r="V61" s="204"/>
      <c r="W61" s="204"/>
      <c r="X61" s="204">
        <f t="shared" si="16"/>
        <v>0</v>
      </c>
      <c r="Y61" s="204"/>
      <c r="Z61" s="204"/>
      <c r="AA61" s="204"/>
      <c r="AB61" s="202">
        <f t="shared" si="9"/>
        <v>0</v>
      </c>
      <c r="AC61" s="202"/>
      <c r="AD61" s="204">
        <f t="shared" si="4"/>
        <v>0</v>
      </c>
      <c r="AE61" s="349" t="str">
        <f t="shared" si="5"/>
        <v/>
      </c>
      <c r="AG61" s="62">
        <f t="shared" si="6"/>
        <v>0</v>
      </c>
    </row>
    <row r="62" spans="1:33" ht="39.6" x14ac:dyDescent="0.25">
      <c r="A62" s="62" t="s">
        <v>188</v>
      </c>
      <c r="B62" s="62" t="s">
        <v>189</v>
      </c>
      <c r="C62" s="344"/>
      <c r="D62" s="344"/>
      <c r="E62" s="365" t="s">
        <v>183</v>
      </c>
      <c r="F62" s="366">
        <v>87208</v>
      </c>
      <c r="J62" s="366">
        <f t="shared" si="0"/>
        <v>87208</v>
      </c>
      <c r="K62" s="366">
        <v>87208</v>
      </c>
      <c r="L62" s="366"/>
      <c r="M62" s="366">
        <v>87208</v>
      </c>
      <c r="N62" s="366">
        <f t="shared" si="17"/>
        <v>0</v>
      </c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Y62" s="366"/>
      <c r="Z62" s="366"/>
      <c r="AA62" s="366">
        <f>SUM(AA65)</f>
        <v>76209</v>
      </c>
      <c r="AB62" s="367">
        <f t="shared" si="9"/>
        <v>76209</v>
      </c>
      <c r="AC62" s="367"/>
      <c r="AD62" s="366">
        <f t="shared" si="4"/>
        <v>-87208</v>
      </c>
      <c r="AE62" s="358">
        <f t="shared" si="5"/>
        <v>-1</v>
      </c>
      <c r="AG62" s="62">
        <f t="shared" si="6"/>
        <v>0</v>
      </c>
    </row>
    <row r="63" spans="1:33" x14ac:dyDescent="0.25">
      <c r="E63" s="209" t="s">
        <v>46</v>
      </c>
      <c r="F63" s="204">
        <v>46712</v>
      </c>
      <c r="H63" s="256"/>
      <c r="J63" s="204">
        <f t="shared" si="0"/>
        <v>46712</v>
      </c>
      <c r="K63" s="204">
        <v>46712</v>
      </c>
      <c r="L63" s="354"/>
      <c r="M63" s="204">
        <v>46712</v>
      </c>
      <c r="N63" s="204">
        <f t="shared" si="17"/>
        <v>0</v>
      </c>
      <c r="O63" s="204"/>
      <c r="P63" s="204"/>
      <c r="Q63" s="204"/>
      <c r="R63" s="354"/>
      <c r="S63" s="204"/>
      <c r="T63" s="204"/>
      <c r="U63" s="204"/>
      <c r="V63" s="354"/>
      <c r="W63" s="354"/>
      <c r="X63" s="204"/>
      <c r="Y63" s="354"/>
      <c r="Z63" s="354"/>
      <c r="AA63" s="204">
        <v>39237</v>
      </c>
      <c r="AB63" s="359">
        <f t="shared" si="9"/>
        <v>39237</v>
      </c>
      <c r="AC63" s="359"/>
      <c r="AD63" s="205">
        <f t="shared" si="4"/>
        <v>-46712</v>
      </c>
      <c r="AE63" s="360">
        <f t="shared" si="5"/>
        <v>-1</v>
      </c>
      <c r="AG63" s="62">
        <f t="shared" si="6"/>
        <v>0</v>
      </c>
    </row>
    <row r="64" spans="1:33" x14ac:dyDescent="0.25">
      <c r="E64" s="377"/>
      <c r="F64" s="378"/>
      <c r="J64" s="378">
        <f t="shared" si="0"/>
        <v>0</v>
      </c>
      <c r="K64" s="378"/>
      <c r="L64" s="378"/>
      <c r="M64" s="378"/>
      <c r="N64" s="378">
        <f t="shared" si="17"/>
        <v>0</v>
      </c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  <c r="Z64" s="378"/>
      <c r="AA64" s="378"/>
      <c r="AB64" s="379">
        <f t="shared" si="9"/>
        <v>0</v>
      </c>
      <c r="AC64" s="379"/>
      <c r="AD64" s="378">
        <f t="shared" si="4"/>
        <v>0</v>
      </c>
      <c r="AE64" s="380" t="str">
        <f t="shared" si="5"/>
        <v/>
      </c>
      <c r="AG64" s="62">
        <f t="shared" si="6"/>
        <v>0</v>
      </c>
    </row>
    <row r="65" spans="1:33" x14ac:dyDescent="0.25">
      <c r="E65" s="381" t="s">
        <v>86</v>
      </c>
      <c r="F65" s="205">
        <v>87208</v>
      </c>
      <c r="J65" s="205">
        <f t="shared" ref="J65:J90" si="18">F65+G65+H65+I65</f>
        <v>87208</v>
      </c>
      <c r="K65" s="205">
        <v>87208</v>
      </c>
      <c r="L65" s="205"/>
      <c r="M65" s="205">
        <v>87208</v>
      </c>
      <c r="N65" s="205">
        <f t="shared" si="17"/>
        <v>0</v>
      </c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>
        <v>76209</v>
      </c>
      <c r="AB65" s="359">
        <f t="shared" si="9"/>
        <v>76209</v>
      </c>
      <c r="AC65" s="359"/>
      <c r="AD65" s="205">
        <f t="shared" ref="AD65:AD90" si="19">AC65-J65</f>
        <v>-87208</v>
      </c>
      <c r="AE65" s="360">
        <f t="shared" ref="AE65:AE90" si="20">IF(J65=0,"",AD65/J65)</f>
        <v>-1</v>
      </c>
      <c r="AG65" s="62">
        <f t="shared" ref="AG65:AG90" si="21">AH65+AI65</f>
        <v>0</v>
      </c>
    </row>
    <row r="66" spans="1:33" x14ac:dyDescent="0.25">
      <c r="E66" s="381"/>
      <c r="F66" s="205"/>
      <c r="J66" s="205">
        <f t="shared" si="18"/>
        <v>0</v>
      </c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359">
        <f t="shared" si="9"/>
        <v>0</v>
      </c>
      <c r="AC66" s="359"/>
      <c r="AD66" s="205">
        <f t="shared" si="19"/>
        <v>0</v>
      </c>
      <c r="AE66" s="360" t="str">
        <f t="shared" si="20"/>
        <v/>
      </c>
      <c r="AG66" s="62">
        <f t="shared" si="21"/>
        <v>0</v>
      </c>
    </row>
    <row r="67" spans="1:33" ht="39.6" x14ac:dyDescent="0.25">
      <c r="A67" s="62" t="s">
        <v>188</v>
      </c>
      <c r="B67" s="62" t="s">
        <v>189</v>
      </c>
      <c r="C67" s="344"/>
      <c r="D67" s="344"/>
      <c r="E67" s="365" t="s">
        <v>108</v>
      </c>
      <c r="F67" s="205"/>
      <c r="H67" s="233">
        <v>287988</v>
      </c>
      <c r="J67" s="366">
        <f t="shared" si="18"/>
        <v>287988</v>
      </c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359">
        <f t="shared" si="9"/>
        <v>0</v>
      </c>
      <c r="AC67" s="359"/>
      <c r="AD67" s="205">
        <f t="shared" si="19"/>
        <v>-287988</v>
      </c>
      <c r="AE67" s="360">
        <f t="shared" si="20"/>
        <v>-1</v>
      </c>
      <c r="AG67" s="62">
        <f t="shared" si="21"/>
        <v>0</v>
      </c>
    </row>
    <row r="68" spans="1:33" x14ac:dyDescent="0.25">
      <c r="E68" s="209" t="s">
        <v>46</v>
      </c>
      <c r="F68" s="205"/>
      <c r="H68" s="351">
        <v>4851</v>
      </c>
      <c r="J68" s="204">
        <f t="shared" si="18"/>
        <v>4851</v>
      </c>
      <c r="K68" s="205"/>
      <c r="L68" s="407"/>
      <c r="M68" s="205"/>
      <c r="N68" s="205"/>
      <c r="O68" s="205"/>
      <c r="P68" s="205"/>
      <c r="Q68" s="205"/>
      <c r="R68" s="407"/>
      <c r="S68" s="205"/>
      <c r="T68" s="205"/>
      <c r="U68" s="205"/>
      <c r="V68" s="407"/>
      <c r="W68" s="407"/>
      <c r="X68" s="205"/>
      <c r="Y68" s="407"/>
      <c r="Z68" s="407"/>
      <c r="AA68" s="407"/>
      <c r="AB68" s="359">
        <f t="shared" si="9"/>
        <v>0</v>
      </c>
      <c r="AC68" s="359"/>
      <c r="AD68" s="205">
        <f t="shared" si="19"/>
        <v>-4851</v>
      </c>
      <c r="AE68" s="360">
        <f t="shared" si="20"/>
        <v>-1</v>
      </c>
      <c r="AG68" s="62">
        <f t="shared" si="21"/>
        <v>0</v>
      </c>
    </row>
    <row r="69" spans="1:33" x14ac:dyDescent="0.25">
      <c r="E69" s="361"/>
      <c r="F69" s="205"/>
      <c r="H69" s="351"/>
      <c r="J69" s="378">
        <f t="shared" si="18"/>
        <v>0</v>
      </c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359">
        <f t="shared" si="9"/>
        <v>0</v>
      </c>
      <c r="AC69" s="359"/>
      <c r="AD69" s="205">
        <f t="shared" si="19"/>
        <v>0</v>
      </c>
      <c r="AE69" s="360" t="str">
        <f t="shared" si="20"/>
        <v/>
      </c>
      <c r="AG69" s="62">
        <f t="shared" si="21"/>
        <v>0</v>
      </c>
    </row>
    <row r="70" spans="1:33" x14ac:dyDescent="0.25">
      <c r="E70" s="381" t="s">
        <v>351</v>
      </c>
      <c r="F70" s="205"/>
      <c r="H70" s="351">
        <v>286949</v>
      </c>
      <c r="J70" s="205">
        <f t="shared" si="18"/>
        <v>286949</v>
      </c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359">
        <f t="shared" si="9"/>
        <v>0</v>
      </c>
      <c r="AC70" s="359"/>
      <c r="AD70" s="205">
        <f t="shared" si="19"/>
        <v>-286949</v>
      </c>
      <c r="AE70" s="360">
        <f t="shared" si="20"/>
        <v>-1</v>
      </c>
      <c r="AG70" s="62">
        <f t="shared" si="21"/>
        <v>0</v>
      </c>
    </row>
    <row r="71" spans="1:33" x14ac:dyDescent="0.25">
      <c r="E71" s="381"/>
      <c r="F71" s="205"/>
      <c r="H71" s="214"/>
      <c r="J71" s="205">
        <f t="shared" si="18"/>
        <v>0</v>
      </c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359">
        <f t="shared" ref="AB71:AB90" si="22">N71+X71+Y71+Z71+AA71</f>
        <v>0</v>
      </c>
      <c r="AC71" s="359"/>
      <c r="AD71" s="205">
        <f t="shared" si="19"/>
        <v>0</v>
      </c>
      <c r="AE71" s="360" t="str">
        <f t="shared" si="20"/>
        <v/>
      </c>
      <c r="AG71" s="62">
        <f t="shared" si="21"/>
        <v>0</v>
      </c>
    </row>
    <row r="72" spans="1:33" x14ac:dyDescent="0.25">
      <c r="A72" s="62" t="s">
        <v>188</v>
      </c>
      <c r="B72" s="62" t="s">
        <v>189</v>
      </c>
      <c r="C72" s="344"/>
      <c r="D72" s="344"/>
      <c r="E72" s="365" t="s">
        <v>116</v>
      </c>
      <c r="F72" s="205"/>
      <c r="H72" s="214">
        <v>1620</v>
      </c>
      <c r="J72" s="366">
        <f t="shared" si="18"/>
        <v>1620</v>
      </c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359">
        <f t="shared" si="22"/>
        <v>0</v>
      </c>
      <c r="AC72" s="359"/>
      <c r="AD72" s="205">
        <f t="shared" si="19"/>
        <v>-1620</v>
      </c>
      <c r="AE72" s="360">
        <f t="shared" si="20"/>
        <v>-1</v>
      </c>
      <c r="AG72" s="62">
        <f t="shared" si="21"/>
        <v>0</v>
      </c>
    </row>
    <row r="73" spans="1:33" x14ac:dyDescent="0.25">
      <c r="E73" s="361"/>
      <c r="F73" s="205"/>
      <c r="H73" s="214"/>
      <c r="J73" s="205">
        <f t="shared" si="18"/>
        <v>0</v>
      </c>
      <c r="K73" s="205"/>
      <c r="L73" s="204"/>
      <c r="M73" s="205"/>
      <c r="N73" s="205"/>
      <c r="O73" s="205"/>
      <c r="P73" s="205"/>
      <c r="Q73" s="205"/>
      <c r="R73" s="204"/>
      <c r="S73" s="205"/>
      <c r="T73" s="205"/>
      <c r="U73" s="205"/>
      <c r="V73" s="204"/>
      <c r="W73" s="204"/>
      <c r="X73" s="205"/>
      <c r="Y73" s="204"/>
      <c r="Z73" s="204"/>
      <c r="AA73" s="204"/>
      <c r="AB73" s="359">
        <f t="shared" si="22"/>
        <v>0</v>
      </c>
      <c r="AC73" s="359"/>
      <c r="AD73" s="205">
        <f t="shared" si="19"/>
        <v>0</v>
      </c>
      <c r="AE73" s="360" t="str">
        <f t="shared" si="20"/>
        <v/>
      </c>
      <c r="AG73" s="62">
        <f t="shared" si="21"/>
        <v>0</v>
      </c>
    </row>
    <row r="74" spans="1:33" x14ac:dyDescent="0.25">
      <c r="E74" s="381" t="s">
        <v>86</v>
      </c>
      <c r="F74" s="205"/>
      <c r="H74" s="351">
        <v>1620</v>
      </c>
      <c r="J74" s="205">
        <f t="shared" si="18"/>
        <v>1620</v>
      </c>
      <c r="K74" s="205"/>
      <c r="L74" s="204"/>
      <c r="M74" s="205"/>
      <c r="N74" s="205"/>
      <c r="O74" s="205"/>
      <c r="P74" s="205"/>
      <c r="Q74" s="205"/>
      <c r="R74" s="204"/>
      <c r="S74" s="205"/>
      <c r="T74" s="205"/>
      <c r="U74" s="205"/>
      <c r="V74" s="204"/>
      <c r="W74" s="204"/>
      <c r="X74" s="205"/>
      <c r="Y74" s="204"/>
      <c r="Z74" s="204"/>
      <c r="AA74" s="204"/>
      <c r="AB74" s="359">
        <f t="shared" si="22"/>
        <v>0</v>
      </c>
      <c r="AC74" s="359"/>
      <c r="AD74" s="205">
        <f t="shared" si="19"/>
        <v>-1620</v>
      </c>
      <c r="AE74" s="360">
        <f t="shared" si="20"/>
        <v>-1</v>
      </c>
      <c r="AG74" s="62">
        <f t="shared" si="21"/>
        <v>0</v>
      </c>
    </row>
    <row r="75" spans="1:33" x14ac:dyDescent="0.25">
      <c r="E75" s="209"/>
      <c r="F75" s="204"/>
      <c r="H75" s="10"/>
      <c r="J75" s="204">
        <f t="shared" si="18"/>
        <v>0</v>
      </c>
      <c r="K75" s="204"/>
      <c r="L75" s="204"/>
      <c r="M75" s="204"/>
      <c r="N75" s="204">
        <f t="shared" si="17"/>
        <v>0</v>
      </c>
      <c r="O75" s="204"/>
      <c r="P75" s="204"/>
      <c r="Q75" s="204"/>
      <c r="R75" s="204"/>
      <c r="S75" s="204"/>
      <c r="T75" s="204"/>
      <c r="U75" s="204"/>
      <c r="V75" s="204"/>
      <c r="W75" s="204"/>
      <c r="X75" s="204">
        <f t="shared" si="16"/>
        <v>0</v>
      </c>
      <c r="Y75" s="204"/>
      <c r="Z75" s="204"/>
      <c r="AA75" s="204"/>
      <c r="AB75" s="202">
        <f t="shared" si="22"/>
        <v>0</v>
      </c>
      <c r="AC75" s="202"/>
      <c r="AD75" s="204">
        <f t="shared" si="19"/>
        <v>0</v>
      </c>
      <c r="AE75" s="349" t="str">
        <f t="shared" si="20"/>
        <v/>
      </c>
      <c r="AG75" s="62">
        <f t="shared" si="21"/>
        <v>0</v>
      </c>
    </row>
    <row r="76" spans="1:33" ht="39.6" x14ac:dyDescent="0.25">
      <c r="A76" s="62" t="s">
        <v>188</v>
      </c>
      <c r="B76" s="62" t="s">
        <v>189</v>
      </c>
      <c r="C76" s="344"/>
      <c r="D76" s="344"/>
      <c r="E76" s="365" t="s">
        <v>199</v>
      </c>
      <c r="F76" s="366">
        <v>62992</v>
      </c>
      <c r="H76" s="10"/>
      <c r="J76" s="366">
        <f t="shared" si="18"/>
        <v>62992</v>
      </c>
      <c r="K76" s="366">
        <v>62992</v>
      </c>
      <c r="L76" s="366"/>
      <c r="M76" s="366">
        <v>62992</v>
      </c>
      <c r="N76" s="366">
        <f t="shared" si="17"/>
        <v>0</v>
      </c>
      <c r="O76" s="366"/>
      <c r="P76" s="366"/>
      <c r="Q76" s="366"/>
      <c r="R76" s="366"/>
      <c r="S76" s="366"/>
      <c r="T76" s="366"/>
      <c r="U76" s="366"/>
      <c r="V76" s="366"/>
      <c r="W76" s="366"/>
      <c r="X76" s="366">
        <f t="shared" si="16"/>
        <v>0</v>
      </c>
      <c r="Y76" s="366"/>
      <c r="Z76" s="366"/>
      <c r="AA76" s="366">
        <f>SUM(AA79)</f>
        <v>22080</v>
      </c>
      <c r="AB76" s="367">
        <f t="shared" si="22"/>
        <v>22080</v>
      </c>
      <c r="AC76" s="367"/>
      <c r="AD76" s="366">
        <f t="shared" si="19"/>
        <v>-62992</v>
      </c>
      <c r="AE76" s="358">
        <f t="shared" si="20"/>
        <v>-1</v>
      </c>
      <c r="AG76" s="62">
        <f t="shared" si="21"/>
        <v>0</v>
      </c>
    </row>
    <row r="77" spans="1:33" x14ac:dyDescent="0.25">
      <c r="E77" s="209" t="s">
        <v>46</v>
      </c>
      <c r="F77" s="204">
        <v>36839</v>
      </c>
      <c r="H77" s="10"/>
      <c r="J77" s="204">
        <f t="shared" si="18"/>
        <v>36839</v>
      </c>
      <c r="K77" s="204">
        <v>36839</v>
      </c>
      <c r="L77" s="354"/>
      <c r="M77" s="204">
        <v>36839</v>
      </c>
      <c r="N77" s="204">
        <f t="shared" si="17"/>
        <v>0</v>
      </c>
      <c r="O77" s="204"/>
      <c r="P77" s="204"/>
      <c r="Q77" s="204"/>
      <c r="R77" s="354"/>
      <c r="S77" s="204"/>
      <c r="T77" s="204"/>
      <c r="U77" s="204"/>
      <c r="V77" s="354"/>
      <c r="W77" s="354"/>
      <c r="X77" s="204">
        <f t="shared" si="16"/>
        <v>0</v>
      </c>
      <c r="Y77" s="354"/>
      <c r="Z77" s="354"/>
      <c r="AA77" s="204">
        <f>14350+1000</f>
        <v>15350</v>
      </c>
      <c r="AB77" s="359">
        <f t="shared" si="22"/>
        <v>15350</v>
      </c>
      <c r="AC77" s="359"/>
      <c r="AD77" s="205">
        <f t="shared" si="19"/>
        <v>-36839</v>
      </c>
      <c r="AE77" s="360">
        <f t="shared" si="20"/>
        <v>-1</v>
      </c>
      <c r="AG77" s="62">
        <f t="shared" si="21"/>
        <v>0</v>
      </c>
    </row>
    <row r="78" spans="1:33" x14ac:dyDescent="0.25">
      <c r="E78" s="377"/>
      <c r="F78" s="378"/>
      <c r="H78" s="10"/>
      <c r="J78" s="378">
        <f t="shared" si="18"/>
        <v>0</v>
      </c>
      <c r="K78" s="378"/>
      <c r="L78" s="378"/>
      <c r="M78" s="378"/>
      <c r="N78" s="378">
        <f t="shared" si="17"/>
        <v>0</v>
      </c>
      <c r="O78" s="378"/>
      <c r="P78" s="378"/>
      <c r="Q78" s="378"/>
      <c r="R78" s="378"/>
      <c r="S78" s="378"/>
      <c r="T78" s="378"/>
      <c r="U78" s="378"/>
      <c r="V78" s="378"/>
      <c r="W78" s="378"/>
      <c r="X78" s="378">
        <f t="shared" si="16"/>
        <v>0</v>
      </c>
      <c r="Y78" s="378"/>
      <c r="Z78" s="378"/>
      <c r="AA78" s="378"/>
      <c r="AB78" s="379">
        <f t="shared" si="22"/>
        <v>0</v>
      </c>
      <c r="AC78" s="379"/>
      <c r="AD78" s="378">
        <f t="shared" si="19"/>
        <v>0</v>
      </c>
      <c r="AE78" s="380" t="str">
        <f t="shared" si="20"/>
        <v/>
      </c>
      <c r="AG78" s="62">
        <f t="shared" si="21"/>
        <v>0</v>
      </c>
    </row>
    <row r="79" spans="1:33" x14ac:dyDescent="0.25">
      <c r="E79" s="381" t="s">
        <v>86</v>
      </c>
      <c r="F79" s="205">
        <v>62992</v>
      </c>
      <c r="H79" s="10"/>
      <c r="J79" s="205">
        <f t="shared" si="18"/>
        <v>62992</v>
      </c>
      <c r="K79" s="205">
        <v>62992</v>
      </c>
      <c r="L79" s="205"/>
      <c r="M79" s="205">
        <v>62992</v>
      </c>
      <c r="N79" s="205">
        <f t="shared" si="17"/>
        <v>0</v>
      </c>
      <c r="O79" s="205"/>
      <c r="P79" s="205"/>
      <c r="Q79" s="205"/>
      <c r="R79" s="205"/>
      <c r="S79" s="205"/>
      <c r="T79" s="205"/>
      <c r="U79" s="205"/>
      <c r="V79" s="205"/>
      <c r="W79" s="205"/>
      <c r="X79" s="205">
        <f t="shared" si="16"/>
        <v>0</v>
      </c>
      <c r="Y79" s="205"/>
      <c r="Z79" s="205"/>
      <c r="AA79" s="205">
        <v>22080</v>
      </c>
      <c r="AB79" s="359">
        <f t="shared" si="22"/>
        <v>22080</v>
      </c>
      <c r="AC79" s="359"/>
      <c r="AD79" s="205">
        <f t="shared" si="19"/>
        <v>-62992</v>
      </c>
      <c r="AE79" s="360">
        <f t="shared" si="20"/>
        <v>-1</v>
      </c>
      <c r="AG79" s="62">
        <f t="shared" si="21"/>
        <v>0</v>
      </c>
    </row>
    <row r="80" spans="1:33" x14ac:dyDescent="0.25">
      <c r="E80" s="381"/>
      <c r="F80" s="205"/>
      <c r="H80" s="10"/>
      <c r="J80" s="205">
        <f t="shared" si="18"/>
        <v>0</v>
      </c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359">
        <f t="shared" si="22"/>
        <v>0</v>
      </c>
      <c r="AC80" s="359"/>
      <c r="AD80" s="205">
        <f t="shared" si="19"/>
        <v>0</v>
      </c>
      <c r="AE80" s="360" t="str">
        <f t="shared" si="20"/>
        <v/>
      </c>
      <c r="AG80" s="62">
        <f t="shared" si="21"/>
        <v>0</v>
      </c>
    </row>
    <row r="81" spans="1:33" ht="39.6" x14ac:dyDescent="0.25">
      <c r="A81" s="62" t="s">
        <v>188</v>
      </c>
      <c r="B81" s="62" t="s">
        <v>189</v>
      </c>
      <c r="C81" s="344"/>
      <c r="D81" s="344"/>
      <c r="E81" s="365" t="s">
        <v>352</v>
      </c>
      <c r="F81" s="205"/>
      <c r="H81" s="214">
        <f>100000+25000+30000</f>
        <v>155000</v>
      </c>
      <c r="J81" s="366">
        <f t="shared" si="18"/>
        <v>155000</v>
      </c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366">
        <f>50000+30000</f>
        <v>80000</v>
      </c>
      <c r="W81" s="205"/>
      <c r="X81" s="366">
        <f t="shared" si="16"/>
        <v>80000</v>
      </c>
      <c r="Y81" s="205"/>
      <c r="Z81" s="205"/>
      <c r="AA81" s="366">
        <f>SUM(AA84)</f>
        <v>75000</v>
      </c>
      <c r="AB81" s="367">
        <f t="shared" si="22"/>
        <v>155000</v>
      </c>
      <c r="AC81" s="367"/>
      <c r="AD81" s="366">
        <f t="shared" si="19"/>
        <v>-155000</v>
      </c>
      <c r="AE81" s="358">
        <f t="shared" si="20"/>
        <v>-1</v>
      </c>
      <c r="AG81" s="62">
        <f t="shared" si="21"/>
        <v>0</v>
      </c>
    </row>
    <row r="82" spans="1:33" x14ac:dyDescent="0.25">
      <c r="E82" s="209" t="s">
        <v>46</v>
      </c>
      <c r="F82" s="205"/>
      <c r="H82" s="351">
        <v>22422</v>
      </c>
      <c r="J82" s="205">
        <f t="shared" si="18"/>
        <v>22422</v>
      </c>
      <c r="K82" s="205"/>
      <c r="L82" s="407"/>
      <c r="M82" s="205"/>
      <c r="N82" s="205"/>
      <c r="O82" s="205"/>
      <c r="P82" s="205"/>
      <c r="Q82" s="205"/>
      <c r="R82" s="407"/>
      <c r="S82" s="205"/>
      <c r="T82" s="205"/>
      <c r="U82" s="205"/>
      <c r="V82" s="205">
        <v>22422</v>
      </c>
      <c r="W82" s="407"/>
      <c r="X82" s="205">
        <f t="shared" si="16"/>
        <v>22422</v>
      </c>
      <c r="Y82" s="407"/>
      <c r="Z82" s="407"/>
      <c r="AA82" s="407"/>
      <c r="AB82" s="359">
        <f t="shared" si="22"/>
        <v>22422</v>
      </c>
      <c r="AC82" s="359"/>
      <c r="AD82" s="205">
        <f t="shared" si="19"/>
        <v>-22422</v>
      </c>
      <c r="AE82" s="360">
        <f t="shared" si="20"/>
        <v>-1</v>
      </c>
      <c r="AG82" s="62">
        <f t="shared" si="21"/>
        <v>0</v>
      </c>
    </row>
    <row r="83" spans="1:33" x14ac:dyDescent="0.25">
      <c r="E83" s="408"/>
      <c r="F83" s="205"/>
      <c r="H83" s="214"/>
      <c r="J83" s="205">
        <f t="shared" si="18"/>
        <v>0</v>
      </c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359">
        <f t="shared" si="22"/>
        <v>0</v>
      </c>
      <c r="AC83" s="359"/>
      <c r="AD83" s="205">
        <f t="shared" si="19"/>
        <v>0</v>
      </c>
      <c r="AE83" s="360" t="str">
        <f t="shared" si="20"/>
        <v/>
      </c>
      <c r="AG83" s="62">
        <f t="shared" si="21"/>
        <v>0</v>
      </c>
    </row>
    <row r="84" spans="1:33" x14ac:dyDescent="0.25">
      <c r="E84" s="381" t="s">
        <v>353</v>
      </c>
      <c r="F84" s="205"/>
      <c r="H84" s="351">
        <f>50000+25000</f>
        <v>75000</v>
      </c>
      <c r="J84" s="205">
        <f t="shared" si="18"/>
        <v>75000</v>
      </c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>
        <f>50000+25000</f>
        <v>75000</v>
      </c>
      <c r="AB84" s="359">
        <f t="shared" si="22"/>
        <v>75000</v>
      </c>
      <c r="AC84" s="359"/>
      <c r="AD84" s="205">
        <f t="shared" si="19"/>
        <v>-75000</v>
      </c>
      <c r="AE84" s="360">
        <f t="shared" si="20"/>
        <v>-1</v>
      </c>
      <c r="AG84" s="62">
        <f t="shared" si="21"/>
        <v>0</v>
      </c>
    </row>
    <row r="85" spans="1:33" x14ac:dyDescent="0.25">
      <c r="E85" s="381"/>
      <c r="F85" s="205"/>
      <c r="H85" s="10"/>
      <c r="J85" s="205">
        <f t="shared" si="18"/>
        <v>0</v>
      </c>
      <c r="K85" s="205"/>
      <c r="L85" s="205"/>
      <c r="M85" s="205"/>
      <c r="N85" s="205">
        <f t="shared" si="17"/>
        <v>0</v>
      </c>
      <c r="O85" s="205"/>
      <c r="P85" s="205"/>
      <c r="Q85" s="205"/>
      <c r="R85" s="205"/>
      <c r="S85" s="205"/>
      <c r="T85" s="205"/>
      <c r="U85" s="205"/>
      <c r="V85" s="205"/>
      <c r="W85" s="205"/>
      <c r="X85" s="205">
        <f t="shared" si="16"/>
        <v>0</v>
      </c>
      <c r="Y85" s="205"/>
      <c r="Z85" s="205"/>
      <c r="AA85" s="205"/>
      <c r="AB85" s="359">
        <f t="shared" si="22"/>
        <v>0</v>
      </c>
      <c r="AC85" s="359"/>
      <c r="AD85" s="205">
        <f t="shared" si="19"/>
        <v>0</v>
      </c>
      <c r="AE85" s="360" t="str">
        <f t="shared" si="20"/>
        <v/>
      </c>
      <c r="AG85" s="62">
        <f t="shared" si="21"/>
        <v>0</v>
      </c>
    </row>
    <row r="86" spans="1:33" x14ac:dyDescent="0.25">
      <c r="A86" s="62" t="s">
        <v>188</v>
      </c>
      <c r="B86" s="62" t="s">
        <v>189</v>
      </c>
      <c r="C86" s="344"/>
      <c r="D86" s="344"/>
      <c r="E86" s="345" t="s">
        <v>106</v>
      </c>
      <c r="F86" s="346">
        <v>44000</v>
      </c>
      <c r="H86" s="10"/>
      <c r="J86" s="346">
        <f t="shared" si="18"/>
        <v>44000</v>
      </c>
      <c r="K86" s="346">
        <v>44000</v>
      </c>
      <c r="L86" s="346">
        <v>14290</v>
      </c>
      <c r="M86" s="346"/>
      <c r="N86" s="346">
        <f t="shared" si="17"/>
        <v>29710</v>
      </c>
      <c r="O86" s="346"/>
      <c r="P86" s="346"/>
      <c r="Q86" s="346"/>
      <c r="R86" s="346"/>
      <c r="S86" s="346"/>
      <c r="T86" s="346"/>
      <c r="U86" s="346"/>
      <c r="V86" s="346"/>
      <c r="W86" s="346"/>
      <c r="X86" s="346">
        <f t="shared" si="16"/>
        <v>0</v>
      </c>
      <c r="Y86" s="346">
        <v>14290</v>
      </c>
      <c r="Z86" s="346"/>
      <c r="AA86" s="346"/>
      <c r="AB86" s="347">
        <f t="shared" si="22"/>
        <v>44000</v>
      </c>
      <c r="AC86" s="347"/>
      <c r="AD86" s="346">
        <f t="shared" si="19"/>
        <v>-44000</v>
      </c>
      <c r="AE86" s="235">
        <f t="shared" si="20"/>
        <v>-1</v>
      </c>
      <c r="AG86" s="62">
        <f t="shared" si="21"/>
        <v>0</v>
      </c>
    </row>
    <row r="87" spans="1:33" x14ac:dyDescent="0.25">
      <c r="E87" s="345"/>
      <c r="F87" s="346"/>
      <c r="H87" s="10"/>
      <c r="J87" s="346">
        <f t="shared" si="18"/>
        <v>0</v>
      </c>
      <c r="K87" s="346"/>
      <c r="L87" s="346"/>
      <c r="M87" s="346"/>
      <c r="N87" s="346">
        <f t="shared" si="17"/>
        <v>0</v>
      </c>
      <c r="O87" s="346"/>
      <c r="P87" s="346"/>
      <c r="Q87" s="346"/>
      <c r="R87" s="346"/>
      <c r="S87" s="346"/>
      <c r="T87" s="346"/>
      <c r="U87" s="346"/>
      <c r="V87" s="346"/>
      <c r="W87" s="346"/>
      <c r="X87" s="346">
        <f t="shared" si="16"/>
        <v>0</v>
      </c>
      <c r="Y87" s="346"/>
      <c r="Z87" s="346"/>
      <c r="AA87" s="346"/>
      <c r="AB87" s="347">
        <f t="shared" si="22"/>
        <v>0</v>
      </c>
      <c r="AC87" s="347"/>
      <c r="AD87" s="346">
        <f t="shared" si="19"/>
        <v>0</v>
      </c>
      <c r="AE87" s="235" t="str">
        <f t="shared" si="20"/>
        <v/>
      </c>
      <c r="AG87" s="62">
        <f t="shared" si="21"/>
        <v>0</v>
      </c>
    </row>
    <row r="88" spans="1:33" x14ac:dyDescent="0.25">
      <c r="A88" s="62" t="s">
        <v>188</v>
      </c>
      <c r="B88" s="62" t="s">
        <v>189</v>
      </c>
      <c r="C88" s="344"/>
      <c r="D88" s="344"/>
      <c r="E88" s="345" t="s">
        <v>107</v>
      </c>
      <c r="F88" s="346">
        <v>20000</v>
      </c>
      <c r="H88" s="10"/>
      <c r="J88" s="346">
        <f t="shared" si="18"/>
        <v>20000</v>
      </c>
      <c r="K88" s="346">
        <v>20000</v>
      </c>
      <c r="L88" s="346"/>
      <c r="M88" s="346"/>
      <c r="N88" s="346">
        <f t="shared" si="17"/>
        <v>20000</v>
      </c>
      <c r="O88" s="346"/>
      <c r="P88" s="346"/>
      <c r="Q88" s="346"/>
      <c r="R88" s="346"/>
      <c r="S88" s="346"/>
      <c r="T88" s="346"/>
      <c r="U88" s="346"/>
      <c r="V88" s="346"/>
      <c r="W88" s="346"/>
      <c r="X88" s="346">
        <f t="shared" si="16"/>
        <v>0</v>
      </c>
      <c r="Y88" s="346"/>
      <c r="Z88" s="346"/>
      <c r="AA88" s="346"/>
      <c r="AB88" s="347">
        <f t="shared" si="22"/>
        <v>20000</v>
      </c>
      <c r="AC88" s="347"/>
      <c r="AD88" s="346">
        <f t="shared" si="19"/>
        <v>-20000</v>
      </c>
      <c r="AE88" s="235">
        <f t="shared" si="20"/>
        <v>-1</v>
      </c>
      <c r="AG88" s="62">
        <f t="shared" si="21"/>
        <v>0</v>
      </c>
    </row>
    <row r="89" spans="1:33" x14ac:dyDescent="0.25">
      <c r="E89" s="409"/>
      <c r="F89" s="347"/>
      <c r="J89" s="347">
        <f t="shared" si="18"/>
        <v>0</v>
      </c>
      <c r="K89" s="347"/>
      <c r="L89" s="347"/>
      <c r="M89" s="347"/>
      <c r="N89" s="347">
        <f t="shared" si="17"/>
        <v>0</v>
      </c>
      <c r="O89" s="347"/>
      <c r="P89" s="347"/>
      <c r="Q89" s="347"/>
      <c r="R89" s="347"/>
      <c r="S89" s="347"/>
      <c r="T89" s="347"/>
      <c r="U89" s="347"/>
      <c r="V89" s="347"/>
      <c r="W89" s="347"/>
      <c r="X89" s="347">
        <f t="shared" si="16"/>
        <v>0</v>
      </c>
      <c r="Y89" s="347"/>
      <c r="Z89" s="347"/>
      <c r="AA89" s="347"/>
      <c r="AB89" s="347">
        <f t="shared" si="22"/>
        <v>0</v>
      </c>
      <c r="AC89" s="347"/>
      <c r="AD89" s="347">
        <f t="shared" si="19"/>
        <v>0</v>
      </c>
      <c r="AE89" s="355" t="str">
        <f t="shared" si="20"/>
        <v/>
      </c>
      <c r="AG89" s="62">
        <f t="shared" si="21"/>
        <v>0</v>
      </c>
    </row>
    <row r="90" spans="1:33" x14ac:dyDescent="0.25">
      <c r="E90" s="409"/>
      <c r="F90" s="347"/>
      <c r="J90" s="347">
        <f t="shared" si="18"/>
        <v>0</v>
      </c>
      <c r="K90" s="347"/>
      <c r="L90" s="347"/>
      <c r="M90" s="347"/>
      <c r="N90" s="347">
        <f t="shared" si="17"/>
        <v>0</v>
      </c>
      <c r="O90" s="347"/>
      <c r="P90" s="347"/>
      <c r="Q90" s="347"/>
      <c r="R90" s="347"/>
      <c r="S90" s="347"/>
      <c r="T90" s="347"/>
      <c r="U90" s="347"/>
      <c r="V90" s="347"/>
      <c r="W90" s="347"/>
      <c r="X90" s="347">
        <f t="shared" si="16"/>
        <v>0</v>
      </c>
      <c r="Y90" s="347"/>
      <c r="Z90" s="347"/>
      <c r="AA90" s="347"/>
      <c r="AB90" s="347">
        <f t="shared" si="22"/>
        <v>0</v>
      </c>
      <c r="AC90" s="347"/>
      <c r="AD90" s="347">
        <f t="shared" si="19"/>
        <v>0</v>
      </c>
      <c r="AE90" s="355" t="str">
        <f t="shared" si="20"/>
        <v/>
      </c>
      <c r="AG90" s="62">
        <f t="shared" si="21"/>
        <v>0</v>
      </c>
    </row>
  </sheetData>
  <autoFilter ref="A4:AJ90" xr:uid="{00000000-0001-0000-0900-000000000000}"/>
  <mergeCells count="5">
    <mergeCell ref="Y3:AA3"/>
    <mergeCell ref="AD3:AF3"/>
    <mergeCell ref="AG3:AJ3"/>
    <mergeCell ref="F3:J3"/>
    <mergeCell ref="O3:X3"/>
  </mergeCells>
  <dataValidations count="1">
    <dataValidation type="list" allowBlank="1" showInputMessage="1" showErrorMessage="1" sqref="D25 D31 D35 D38 D46 D52 D67 D76 D81 D86 D88 D16 D57 D62 D72" xr:uid="{94621378-D764-4687-AA29-A6081DD95B26}">
      <formula1>INDIRECT($C16)</formula1>
    </dataValidation>
  </dataValidations>
  <pageMargins left="1.1811023622047245" right="0.47244094488188981" top="0.47244094488188981" bottom="0.98425196850393704" header="0.31496062992125984" footer="0.31496062992125984"/>
  <pageSetup paperSize="9" orientation="portrait" r:id="rId1"/>
  <headerFooter>
    <oddFooter>&amp;C&amp;P/&amp;N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CBFF7FF-25DE-49A9-BE59-55E3894D8C91}">
          <x14:formula1>
            <xm:f>list1!$A$1:$A$15</xm:f>
          </x14:formula1>
          <xm:sqref>C16 C25 C31 C35 C38 C46 C52 C57 C62 C67 C72 C76 C81 C86 C88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U34"/>
  <sheetViews>
    <sheetView zoomScaleNormal="100" workbookViewId="0">
      <selection activeCell="U25" sqref="U25"/>
    </sheetView>
  </sheetViews>
  <sheetFormatPr defaultColWidth="9.109375" defaultRowHeight="13.2" x14ac:dyDescent="0.25"/>
  <cols>
    <col min="1" max="1" width="3.33203125" style="97" customWidth="1"/>
    <col min="2" max="2" width="13.33203125" style="97" customWidth="1"/>
    <col min="3" max="3" width="12.6640625" style="97" customWidth="1"/>
    <col min="4" max="4" width="7.109375" style="97" customWidth="1"/>
    <col min="5" max="5" width="5.6640625" style="97" customWidth="1"/>
    <col min="6" max="6" width="12" style="140" customWidth="1"/>
    <col min="7" max="7" width="9.88671875" style="140" customWidth="1"/>
    <col min="8" max="8" width="9.6640625" style="97" customWidth="1"/>
    <col min="9" max="9" width="15.88671875" style="97" customWidth="1"/>
    <col min="10" max="10" width="7.88671875" style="97" customWidth="1"/>
    <col min="11" max="12" width="6.6640625" style="97" customWidth="1"/>
    <col min="13" max="13" width="7" style="97" customWidth="1"/>
    <col min="14" max="14" width="6.44140625" style="97" customWidth="1"/>
    <col min="15" max="16" width="6.33203125" style="97" customWidth="1"/>
    <col min="17" max="17" width="9.5546875" style="97" customWidth="1"/>
    <col min="18" max="18" width="15.6640625" style="97" customWidth="1"/>
    <col min="19" max="16384" width="9.109375" style="97"/>
  </cols>
  <sheetData>
    <row r="1" spans="1:21" s="93" customFormat="1" ht="13.8" x14ac:dyDescent="0.25">
      <c r="A1" s="91" t="s">
        <v>239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P1" s="94"/>
      <c r="Q1" s="94"/>
      <c r="R1" s="95" t="s">
        <v>240</v>
      </c>
    </row>
    <row r="2" spans="1:21" ht="12.75" customHeight="1" x14ac:dyDescent="0.25">
      <c r="A2" s="93"/>
      <c r="B2" s="93"/>
      <c r="C2" s="93"/>
      <c r="D2" s="93"/>
      <c r="E2" s="93"/>
      <c r="F2" s="96"/>
      <c r="G2" s="96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1" ht="15.6" x14ac:dyDescent="0.3">
      <c r="A3" s="98" t="s">
        <v>241</v>
      </c>
      <c r="B3" s="98"/>
      <c r="C3" s="98"/>
      <c r="D3" s="93"/>
      <c r="E3" s="93"/>
      <c r="F3" s="96"/>
      <c r="G3" s="96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21" ht="14.25" customHeight="1" x14ac:dyDescent="0.25">
      <c r="A4" s="99" t="s">
        <v>242</v>
      </c>
      <c r="B4" s="99"/>
      <c r="C4" s="99"/>
      <c r="D4" s="93"/>
      <c r="E4" s="93"/>
      <c r="F4" s="96"/>
      <c r="G4" s="96"/>
      <c r="H4" s="93"/>
      <c r="I4" s="93"/>
      <c r="J4" s="93"/>
      <c r="K4" s="93"/>
      <c r="L4" s="93"/>
      <c r="M4" s="93"/>
      <c r="N4" s="454" t="s">
        <v>208</v>
      </c>
      <c r="O4" s="454"/>
      <c r="P4" s="454"/>
      <c r="Q4" s="454"/>
      <c r="R4" s="454"/>
    </row>
    <row r="5" spans="1:21" ht="7.5" customHeight="1" thickBot="1" x14ac:dyDescent="0.3">
      <c r="A5" s="100"/>
      <c r="B5" s="100"/>
      <c r="C5" s="100"/>
      <c r="D5" s="100"/>
      <c r="E5" s="100"/>
      <c r="F5" s="101"/>
      <c r="G5" s="96"/>
      <c r="H5" s="100"/>
      <c r="I5" s="100"/>
      <c r="J5" s="100"/>
      <c r="K5" s="100"/>
      <c r="L5" s="100"/>
      <c r="M5" s="100"/>
      <c r="N5" s="100"/>
      <c r="O5" s="102"/>
      <c r="P5" s="103"/>
      <c r="Q5" s="103"/>
      <c r="R5" s="103"/>
    </row>
    <row r="6" spans="1:21" s="109" customFormat="1" ht="33" customHeight="1" x14ac:dyDescent="0.2">
      <c r="A6" s="104" t="s">
        <v>243</v>
      </c>
      <c r="B6" s="105" t="s">
        <v>244</v>
      </c>
      <c r="C6" s="105" t="s">
        <v>245</v>
      </c>
      <c r="D6" s="105" t="s">
        <v>246</v>
      </c>
      <c r="E6" s="105" t="s">
        <v>247</v>
      </c>
      <c r="F6" s="105" t="s">
        <v>248</v>
      </c>
      <c r="G6" s="106" t="s">
        <v>249</v>
      </c>
      <c r="H6" s="105" t="s">
        <v>250</v>
      </c>
      <c r="I6" s="455" t="s">
        <v>251</v>
      </c>
      <c r="J6" s="456"/>
      <c r="K6" s="457" t="s">
        <v>119</v>
      </c>
      <c r="L6" s="455"/>
      <c r="M6" s="455"/>
      <c r="N6" s="455"/>
      <c r="O6" s="455"/>
      <c r="P6" s="455"/>
      <c r="Q6" s="107"/>
      <c r="R6" s="108" t="s">
        <v>252</v>
      </c>
    </row>
    <row r="7" spans="1:21" s="109" customFormat="1" ht="48.6" thickBot="1" x14ac:dyDescent="0.25">
      <c r="A7" s="110"/>
      <c r="B7" s="111"/>
      <c r="C7" s="111"/>
      <c r="D7" s="112" t="s">
        <v>253</v>
      </c>
      <c r="E7" s="112" t="s">
        <v>253</v>
      </c>
      <c r="F7" s="113"/>
      <c r="G7" s="114" t="s">
        <v>254</v>
      </c>
      <c r="H7" s="115"/>
      <c r="I7" s="116" t="s">
        <v>255</v>
      </c>
      <c r="J7" s="117" t="s">
        <v>256</v>
      </c>
      <c r="K7" s="118" t="s">
        <v>282</v>
      </c>
      <c r="L7" s="118" t="s">
        <v>283</v>
      </c>
      <c r="M7" s="118" t="s">
        <v>284</v>
      </c>
      <c r="N7" s="119">
        <v>2023</v>
      </c>
      <c r="O7" s="119">
        <v>2024</v>
      </c>
      <c r="P7" s="120">
        <v>2025</v>
      </c>
      <c r="Q7" s="121" t="s">
        <v>285</v>
      </c>
      <c r="R7" s="122"/>
    </row>
    <row r="8" spans="1:21" ht="12.75" customHeight="1" x14ac:dyDescent="0.25">
      <c r="A8" s="123">
        <v>1</v>
      </c>
      <c r="B8" s="124">
        <v>2</v>
      </c>
      <c r="C8" s="124">
        <v>3</v>
      </c>
      <c r="D8" s="124">
        <v>4</v>
      </c>
      <c r="E8" s="124">
        <v>5</v>
      </c>
      <c r="F8" s="124">
        <v>6</v>
      </c>
      <c r="G8" s="124">
        <v>7</v>
      </c>
      <c r="H8" s="125">
        <v>8</v>
      </c>
      <c r="I8" s="124">
        <v>9</v>
      </c>
      <c r="J8" s="125">
        <v>10</v>
      </c>
      <c r="K8" s="125">
        <v>11</v>
      </c>
      <c r="L8" s="125">
        <v>12</v>
      </c>
      <c r="M8" s="124">
        <v>13</v>
      </c>
      <c r="N8" s="124">
        <v>14</v>
      </c>
      <c r="O8" s="125">
        <v>15</v>
      </c>
      <c r="P8" s="124">
        <v>16</v>
      </c>
      <c r="Q8" s="126">
        <v>17</v>
      </c>
      <c r="R8" s="127">
        <v>18</v>
      </c>
      <c r="S8" s="93"/>
      <c r="T8" s="93"/>
      <c r="U8" s="93"/>
    </row>
    <row r="9" spans="1:21" ht="12.75" customHeight="1" x14ac:dyDescent="0.25">
      <c r="A9" s="447" t="s">
        <v>257</v>
      </c>
      <c r="B9" s="448"/>
      <c r="C9" s="448"/>
      <c r="D9" s="448"/>
      <c r="E9" s="448"/>
      <c r="F9" s="448"/>
      <c r="G9" s="448"/>
      <c r="H9" s="448"/>
      <c r="I9" s="448"/>
      <c r="J9" s="448"/>
      <c r="K9" s="448"/>
      <c r="L9" s="448"/>
      <c r="M9" s="448"/>
      <c r="N9" s="448"/>
      <c r="O9" s="448"/>
      <c r="P9" s="448"/>
      <c r="Q9" s="448"/>
      <c r="R9" s="449"/>
      <c r="S9" s="93"/>
      <c r="T9" s="93"/>
      <c r="U9" s="93"/>
    </row>
    <row r="10" spans="1:21" x14ac:dyDescent="0.25">
      <c r="A10" s="450" t="s">
        <v>258</v>
      </c>
      <c r="B10" s="440"/>
      <c r="C10" s="440"/>
      <c r="D10" s="443"/>
      <c r="E10" s="443"/>
      <c r="F10" s="443"/>
      <c r="G10" s="443"/>
      <c r="H10" s="440"/>
      <c r="I10" s="128" t="s">
        <v>259</v>
      </c>
      <c r="J10" s="128"/>
      <c r="K10" s="129"/>
      <c r="L10" s="129"/>
      <c r="M10" s="130"/>
      <c r="N10" s="130"/>
      <c r="O10" s="130"/>
      <c r="P10" s="130"/>
      <c r="Q10" s="131"/>
      <c r="R10" s="132"/>
      <c r="S10" s="93"/>
      <c r="T10" s="93"/>
      <c r="U10" s="93"/>
    </row>
    <row r="11" spans="1:21" ht="34.5" customHeight="1" x14ac:dyDescent="0.25">
      <c r="A11" s="451"/>
      <c r="B11" s="441"/>
      <c r="C11" s="441"/>
      <c r="D11" s="444"/>
      <c r="E11" s="444"/>
      <c r="F11" s="444"/>
      <c r="G11" s="444"/>
      <c r="H11" s="441"/>
      <c r="I11" s="128" t="s">
        <v>260</v>
      </c>
      <c r="J11" s="128"/>
      <c r="K11" s="129"/>
      <c r="L11" s="129"/>
      <c r="M11" s="130"/>
      <c r="N11" s="130"/>
      <c r="O11" s="130"/>
      <c r="P11" s="130"/>
      <c r="Q11" s="131"/>
      <c r="R11" s="132"/>
      <c r="S11" s="93"/>
      <c r="T11" s="93"/>
      <c r="U11" s="93"/>
    </row>
    <row r="12" spans="1:21" ht="47.25" customHeight="1" x14ac:dyDescent="0.25">
      <c r="A12" s="451"/>
      <c r="B12" s="441"/>
      <c r="C12" s="441"/>
      <c r="D12" s="444"/>
      <c r="E12" s="444"/>
      <c r="F12" s="444"/>
      <c r="G12" s="444"/>
      <c r="H12" s="441"/>
      <c r="I12" s="128" t="s">
        <v>261</v>
      </c>
      <c r="J12" s="128"/>
      <c r="K12" s="129"/>
      <c r="L12" s="129"/>
      <c r="M12" s="130"/>
      <c r="N12" s="130"/>
      <c r="O12" s="130"/>
      <c r="P12" s="130"/>
      <c r="Q12" s="131"/>
      <c r="R12" s="132"/>
      <c r="S12" s="93"/>
      <c r="T12" s="93"/>
      <c r="U12" s="93"/>
    </row>
    <row r="13" spans="1:21" ht="26.4" x14ac:dyDescent="0.25">
      <c r="A13" s="451"/>
      <c r="B13" s="441"/>
      <c r="C13" s="441"/>
      <c r="D13" s="444"/>
      <c r="E13" s="444"/>
      <c r="F13" s="444"/>
      <c r="G13" s="444"/>
      <c r="H13" s="441"/>
      <c r="I13" s="128" t="s">
        <v>262</v>
      </c>
      <c r="J13" s="128"/>
      <c r="K13" s="129"/>
      <c r="L13" s="129"/>
      <c r="M13" s="130"/>
      <c r="N13" s="130"/>
      <c r="O13" s="130"/>
      <c r="P13" s="130"/>
      <c r="Q13" s="131"/>
      <c r="R13" s="132"/>
      <c r="S13" s="93"/>
      <c r="T13" s="93"/>
      <c r="U13" s="93"/>
    </row>
    <row r="14" spans="1:21" ht="12.75" customHeight="1" x14ac:dyDescent="0.25">
      <c r="A14" s="458"/>
      <c r="B14" s="446"/>
      <c r="C14" s="446"/>
      <c r="D14" s="445"/>
      <c r="E14" s="445"/>
      <c r="F14" s="445"/>
      <c r="G14" s="445"/>
      <c r="H14" s="446"/>
      <c r="I14" s="128" t="s">
        <v>50</v>
      </c>
      <c r="J14" s="128"/>
      <c r="K14" s="129"/>
      <c r="L14" s="129"/>
      <c r="M14" s="130"/>
      <c r="N14" s="130"/>
      <c r="O14" s="130"/>
      <c r="P14" s="130"/>
      <c r="Q14" s="131"/>
      <c r="R14" s="132"/>
      <c r="S14" s="93"/>
      <c r="T14" s="93"/>
      <c r="U14" s="93"/>
    </row>
    <row r="15" spans="1:21" ht="12.75" customHeight="1" x14ac:dyDescent="0.25">
      <c r="A15" s="447" t="s">
        <v>120</v>
      </c>
      <c r="B15" s="448"/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9"/>
      <c r="S15" s="93"/>
      <c r="T15" s="93"/>
      <c r="U15" s="93"/>
    </row>
    <row r="16" spans="1:21" x14ac:dyDescent="0.25">
      <c r="A16" s="450" t="s">
        <v>197</v>
      </c>
      <c r="B16" s="440"/>
      <c r="C16" s="440"/>
      <c r="D16" s="443"/>
      <c r="E16" s="443"/>
      <c r="F16" s="443"/>
      <c r="G16" s="443"/>
      <c r="H16" s="440"/>
      <c r="I16" s="128" t="s">
        <v>259</v>
      </c>
      <c r="J16" s="128"/>
      <c r="K16" s="129"/>
      <c r="L16" s="129"/>
      <c r="M16" s="130"/>
      <c r="N16" s="130"/>
      <c r="O16" s="130"/>
      <c r="P16" s="130"/>
      <c r="Q16" s="131"/>
      <c r="R16" s="132"/>
      <c r="S16" s="93"/>
      <c r="T16" s="93"/>
      <c r="U16" s="93"/>
    </row>
    <row r="17" spans="1:21" ht="34.5" customHeight="1" x14ac:dyDescent="0.25">
      <c r="A17" s="451"/>
      <c r="B17" s="441"/>
      <c r="C17" s="441"/>
      <c r="D17" s="444"/>
      <c r="E17" s="444"/>
      <c r="F17" s="444"/>
      <c r="G17" s="444"/>
      <c r="H17" s="441"/>
      <c r="I17" s="128" t="s">
        <v>260</v>
      </c>
      <c r="J17" s="128"/>
      <c r="K17" s="129"/>
      <c r="L17" s="129"/>
      <c r="M17" s="130"/>
      <c r="N17" s="130"/>
      <c r="O17" s="130"/>
      <c r="P17" s="130"/>
      <c r="Q17" s="131"/>
      <c r="R17" s="132"/>
      <c r="S17" s="93"/>
      <c r="T17" s="93"/>
      <c r="U17" s="93"/>
    </row>
    <row r="18" spans="1:21" ht="47.25" customHeight="1" x14ac:dyDescent="0.25">
      <c r="A18" s="451"/>
      <c r="B18" s="441"/>
      <c r="C18" s="441"/>
      <c r="D18" s="444"/>
      <c r="E18" s="444"/>
      <c r="F18" s="444"/>
      <c r="G18" s="444"/>
      <c r="H18" s="441"/>
      <c r="I18" s="128" t="s">
        <v>261</v>
      </c>
      <c r="J18" s="128"/>
      <c r="K18" s="129"/>
      <c r="L18" s="129"/>
      <c r="M18" s="130"/>
      <c r="N18" s="130"/>
      <c r="O18" s="130"/>
      <c r="P18" s="130"/>
      <c r="Q18" s="131"/>
      <c r="R18" s="132"/>
      <c r="S18" s="93"/>
      <c r="T18" s="93"/>
      <c r="U18" s="93"/>
    </row>
    <row r="19" spans="1:21" ht="26.4" x14ac:dyDescent="0.25">
      <c r="A19" s="451"/>
      <c r="B19" s="441"/>
      <c r="C19" s="441"/>
      <c r="D19" s="444"/>
      <c r="E19" s="444"/>
      <c r="F19" s="444"/>
      <c r="G19" s="444"/>
      <c r="H19" s="441"/>
      <c r="I19" s="128" t="s">
        <v>262</v>
      </c>
      <c r="J19" s="128"/>
      <c r="K19" s="129"/>
      <c r="L19" s="129"/>
      <c r="M19" s="130"/>
      <c r="N19" s="130"/>
      <c r="O19" s="130"/>
      <c r="P19" s="130"/>
      <c r="Q19" s="131"/>
      <c r="R19" s="132"/>
      <c r="S19" s="93"/>
      <c r="T19" s="93"/>
      <c r="U19" s="93"/>
    </row>
    <row r="20" spans="1:21" ht="12.75" customHeight="1" thickBot="1" x14ac:dyDescent="0.3">
      <c r="A20" s="452"/>
      <c r="B20" s="442"/>
      <c r="C20" s="442"/>
      <c r="D20" s="453"/>
      <c r="E20" s="453"/>
      <c r="F20" s="453"/>
      <c r="G20" s="453"/>
      <c r="H20" s="442"/>
      <c r="I20" s="133" t="s">
        <v>50</v>
      </c>
      <c r="J20" s="133"/>
      <c r="K20" s="134"/>
      <c r="L20" s="134"/>
      <c r="M20" s="135"/>
      <c r="N20" s="135"/>
      <c r="O20" s="135"/>
      <c r="P20" s="135"/>
      <c r="Q20" s="136"/>
      <c r="R20" s="137"/>
      <c r="S20" s="93"/>
      <c r="T20" s="93"/>
      <c r="U20" s="93"/>
    </row>
    <row r="21" spans="1:21" x14ac:dyDescent="0.25">
      <c r="A21" s="100"/>
      <c r="B21" s="100"/>
      <c r="C21" s="100"/>
      <c r="D21" s="100"/>
      <c r="E21" s="100"/>
      <c r="F21" s="101"/>
      <c r="G21" s="101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93"/>
      <c r="T21" s="93"/>
      <c r="U21" s="93"/>
    </row>
    <row r="22" spans="1:21" x14ac:dyDescent="0.25">
      <c r="A22" s="96" t="s">
        <v>231</v>
      </c>
      <c r="B22" s="96"/>
      <c r="C22" s="96"/>
      <c r="D22" s="93"/>
      <c r="E22" s="93"/>
      <c r="F22" s="96"/>
      <c r="G22" s="96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</row>
    <row r="23" spans="1:21" x14ac:dyDescent="0.25">
      <c r="A23" s="96"/>
      <c r="B23" s="96"/>
      <c r="C23" s="96"/>
      <c r="D23" s="93"/>
      <c r="E23" s="93"/>
      <c r="F23" s="96"/>
      <c r="G23" s="96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</row>
    <row r="24" spans="1:21" x14ac:dyDescent="0.25">
      <c r="A24" s="138" t="s">
        <v>263</v>
      </c>
      <c r="B24" s="96"/>
      <c r="C24" s="96"/>
      <c r="D24" s="93"/>
      <c r="E24" s="93"/>
      <c r="F24" s="96"/>
      <c r="G24" s="96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</row>
    <row r="25" spans="1:21" x14ac:dyDescent="0.25">
      <c r="A25" s="138"/>
      <c r="B25" s="139"/>
      <c r="C25" s="93"/>
      <c r="D25" s="93"/>
      <c r="E25" s="93"/>
      <c r="F25" s="96"/>
      <c r="G25" s="96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</row>
    <row r="26" spans="1:21" x14ac:dyDescent="0.25">
      <c r="A26" s="93"/>
      <c r="B26" s="139"/>
      <c r="C26" s="93"/>
      <c r="D26" s="93"/>
      <c r="E26" s="93"/>
      <c r="F26" s="96"/>
      <c r="G26" s="96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</row>
    <row r="27" spans="1:21" x14ac:dyDescent="0.25">
      <c r="A27" s="93"/>
      <c r="B27" s="139"/>
      <c r="C27" s="93"/>
      <c r="D27" s="93"/>
      <c r="E27" s="93"/>
      <c r="F27" s="96"/>
      <c r="G27" s="96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</row>
    <row r="28" spans="1:21" x14ac:dyDescent="0.25">
      <c r="A28" s="93"/>
      <c r="B28" s="139"/>
      <c r="C28" s="93"/>
      <c r="D28" s="93"/>
      <c r="E28" s="93"/>
      <c r="F28" s="96"/>
      <c r="G28" s="96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</row>
    <row r="29" spans="1:21" x14ac:dyDescent="0.25">
      <c r="A29" s="93"/>
      <c r="B29" s="139"/>
      <c r="C29" s="93"/>
      <c r="D29" s="93"/>
      <c r="E29" s="93"/>
      <c r="F29" s="96"/>
      <c r="G29" s="96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</row>
    <row r="30" spans="1:21" x14ac:dyDescent="0.25">
      <c r="A30" s="93"/>
      <c r="B30" s="139"/>
      <c r="C30" s="93"/>
      <c r="D30" s="93"/>
      <c r="E30" s="93"/>
      <c r="F30" s="96"/>
      <c r="G30" s="96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</row>
    <row r="31" spans="1:21" x14ac:dyDescent="0.25">
      <c r="A31" s="93"/>
      <c r="B31" s="139"/>
      <c r="C31" s="93"/>
      <c r="D31" s="93"/>
      <c r="E31" s="93"/>
      <c r="F31" s="96"/>
      <c r="G31" s="96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</row>
    <row r="32" spans="1:21" x14ac:dyDescent="0.25">
      <c r="A32" s="93"/>
      <c r="B32" s="139"/>
      <c r="C32" s="93"/>
      <c r="D32" s="93"/>
      <c r="E32" s="93"/>
      <c r="F32" s="96"/>
      <c r="G32" s="96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</row>
    <row r="33" spans="1:18" x14ac:dyDescent="0.25">
      <c r="A33" s="93"/>
      <c r="B33" s="139"/>
      <c r="C33" s="93"/>
      <c r="D33" s="93"/>
      <c r="E33" s="93"/>
      <c r="F33" s="96"/>
      <c r="G33" s="96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</row>
    <row r="34" spans="1:18" x14ac:dyDescent="0.25">
      <c r="A34" s="93"/>
      <c r="B34" s="139"/>
      <c r="C34" s="93"/>
      <c r="D34" s="93"/>
      <c r="E34" s="93"/>
      <c r="F34" s="96"/>
      <c r="G34" s="96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</row>
  </sheetData>
  <mergeCells count="21">
    <mergeCell ref="N4:R4"/>
    <mergeCell ref="I6:J6"/>
    <mergeCell ref="K6:P6"/>
    <mergeCell ref="A9:R9"/>
    <mergeCell ref="A10:A14"/>
    <mergeCell ref="B10:B14"/>
    <mergeCell ref="C10:C14"/>
    <mergeCell ref="D10:D14"/>
    <mergeCell ref="E10:E14"/>
    <mergeCell ref="F10:F14"/>
    <mergeCell ref="H16:H20"/>
    <mergeCell ref="G10:G14"/>
    <mergeCell ref="H10:H14"/>
    <mergeCell ref="A15:R15"/>
    <mergeCell ref="A16:A20"/>
    <mergeCell ref="B16:B20"/>
    <mergeCell ref="C16:C20"/>
    <mergeCell ref="D16:D20"/>
    <mergeCell ref="E16:E20"/>
    <mergeCell ref="F16:F20"/>
    <mergeCell ref="G16:G20"/>
  </mergeCells>
  <pageMargins left="0.15748031496062992" right="0.15748031496062992" top="0.78740157480314965" bottom="0.78740157480314965" header="0" footer="0"/>
  <pageSetup paperSize="9" scale="90" orientation="landscape" r:id="rId1"/>
  <headerFooter alignWithMargins="0"/>
  <rowBreaks count="1" manualBreakCount="1">
    <brk id="2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E42"/>
  <sheetViews>
    <sheetView showZeros="0" tabSelected="1" zoomScaleNormal="100" workbookViewId="0"/>
  </sheetViews>
  <sheetFormatPr defaultColWidth="11.44140625" defaultRowHeight="13.2" x14ac:dyDescent="0.25"/>
  <cols>
    <col min="1" max="1" width="49.109375" style="86" customWidth="1"/>
    <col min="2" max="2" width="15.44140625" style="86" bestFit="1" customWidth="1"/>
    <col min="3" max="3" width="3.88671875" style="86" customWidth="1"/>
    <col min="4" max="5" width="11.44140625" style="86"/>
    <col min="6" max="6" width="3.88671875" style="86" customWidth="1"/>
    <col min="7" max="16384" width="11.44140625" style="86"/>
  </cols>
  <sheetData>
    <row r="1" spans="1:5" ht="26.4" x14ac:dyDescent="0.25">
      <c r="A1" s="74" t="s">
        <v>281</v>
      </c>
      <c r="D1" s="75" t="s">
        <v>212</v>
      </c>
    </row>
    <row r="2" spans="1:5" ht="7.5" customHeight="1" x14ac:dyDescent="0.25">
      <c r="A2" s="76"/>
    </row>
    <row r="3" spans="1:5" x14ac:dyDescent="0.25">
      <c r="A3" s="76"/>
      <c r="D3" s="459" t="s">
        <v>208</v>
      </c>
    </row>
    <row r="4" spans="1:5" s="89" customFormat="1" x14ac:dyDescent="0.25">
      <c r="A4" s="460" t="s">
        <v>213</v>
      </c>
      <c r="B4" s="414" t="s">
        <v>469</v>
      </c>
      <c r="C4" s="414"/>
      <c r="D4" s="414"/>
    </row>
    <row r="5" spans="1:5" s="89" customFormat="1" x14ac:dyDescent="0.25">
      <c r="A5" s="460"/>
      <c r="B5" s="461"/>
    </row>
    <row r="6" spans="1:5" s="89" customFormat="1" ht="12.75" customHeight="1" x14ac:dyDescent="0.25">
      <c r="A6" s="462"/>
      <c r="B6" s="413" t="s">
        <v>195</v>
      </c>
      <c r="D6" s="463" t="s">
        <v>196</v>
      </c>
    </row>
    <row r="7" spans="1:5" s="89" customFormat="1" ht="39" customHeight="1" x14ac:dyDescent="0.25">
      <c r="A7" s="77" t="s">
        <v>214</v>
      </c>
      <c r="B7" s="78" t="s">
        <v>34</v>
      </c>
      <c r="D7" s="78" t="s">
        <v>34</v>
      </c>
    </row>
    <row r="8" spans="1:5" s="89" customFormat="1" ht="12.75" customHeight="1" x14ac:dyDescent="0.25">
      <c r="A8" s="80" t="s">
        <v>215</v>
      </c>
      <c r="B8" s="79"/>
    </row>
    <row r="9" spans="1:5" s="89" customFormat="1" ht="12.75" customHeight="1" x14ac:dyDescent="0.25">
      <c r="A9" s="80"/>
      <c r="B9" s="79"/>
    </row>
    <row r="10" spans="1:5" s="89" customFormat="1" ht="12.75" customHeight="1" x14ac:dyDescent="0.25">
      <c r="A10" s="80" t="s">
        <v>216</v>
      </c>
      <c r="B10" s="79"/>
      <c r="D10" s="79"/>
    </row>
    <row r="11" spans="1:5" s="89" customFormat="1" ht="12.75" customHeight="1" x14ac:dyDescent="0.25">
      <c r="A11" s="80"/>
      <c r="B11" s="79"/>
      <c r="D11" s="86"/>
      <c r="E11" s="86"/>
    </row>
    <row r="12" spans="1:5" s="89" customFormat="1" ht="12.75" customHeight="1" x14ac:dyDescent="0.25">
      <c r="A12" s="80" t="s">
        <v>3</v>
      </c>
      <c r="B12" s="79"/>
      <c r="D12" s="79"/>
    </row>
    <row r="13" spans="1:5" s="89" customFormat="1" ht="12.75" customHeight="1" x14ac:dyDescent="0.25">
      <c r="A13" s="81" t="s">
        <v>217</v>
      </c>
      <c r="B13" s="79"/>
      <c r="D13" s="79"/>
    </row>
    <row r="14" spans="1:5" s="89" customFormat="1" ht="12.75" customHeight="1" x14ac:dyDescent="0.25">
      <c r="A14" s="82" t="s">
        <v>218</v>
      </c>
      <c r="B14" s="79"/>
      <c r="D14" s="79"/>
    </row>
    <row r="15" spans="1:5" s="89" customFormat="1" ht="12.75" customHeight="1" x14ac:dyDescent="0.25">
      <c r="A15" s="82" t="s">
        <v>219</v>
      </c>
      <c r="B15" s="79"/>
      <c r="D15" s="79"/>
    </row>
    <row r="16" spans="1:5" s="89" customFormat="1" ht="26.4" x14ac:dyDescent="0.25">
      <c r="A16" s="82" t="s">
        <v>220</v>
      </c>
      <c r="B16" s="79"/>
      <c r="D16" s="79"/>
    </row>
    <row r="17" spans="1:4" s="89" customFormat="1" ht="26.4" x14ac:dyDescent="0.25">
      <c r="A17" s="82" t="s">
        <v>221</v>
      </c>
      <c r="B17" s="79"/>
      <c r="D17" s="79"/>
    </row>
    <row r="18" spans="1:4" s="89" customFormat="1" ht="12.75" customHeight="1" x14ac:dyDescent="0.25">
      <c r="A18" s="83" t="s">
        <v>222</v>
      </c>
      <c r="B18" s="79"/>
      <c r="D18" s="79"/>
    </row>
    <row r="19" spans="1:4" s="89" customFormat="1" ht="12.75" customHeight="1" x14ac:dyDescent="0.25">
      <c r="A19" s="83" t="s">
        <v>223</v>
      </c>
      <c r="B19" s="79"/>
      <c r="D19" s="79"/>
    </row>
    <row r="20" spans="1:4" s="89" customFormat="1" ht="12.75" customHeight="1" x14ac:dyDescent="0.25">
      <c r="A20" s="83"/>
      <c r="B20" s="79"/>
    </row>
    <row r="21" spans="1:4" s="89" customFormat="1" ht="12.75" customHeight="1" x14ac:dyDescent="0.25">
      <c r="A21" s="80" t="s">
        <v>72</v>
      </c>
      <c r="B21" s="79"/>
      <c r="D21" s="79"/>
    </row>
    <row r="22" spans="1:4" s="89" customFormat="1" ht="12.75" customHeight="1" x14ac:dyDescent="0.25">
      <c r="A22" s="84" t="s">
        <v>224</v>
      </c>
      <c r="B22" s="79"/>
      <c r="D22" s="79"/>
    </row>
    <row r="23" spans="1:4" s="89" customFormat="1" ht="26.4" x14ac:dyDescent="0.25">
      <c r="A23" s="82" t="s">
        <v>225</v>
      </c>
      <c r="B23" s="79"/>
      <c r="D23" s="79"/>
    </row>
    <row r="24" spans="1:4" s="89" customFormat="1" ht="12.75" customHeight="1" x14ac:dyDescent="0.25">
      <c r="A24" s="80"/>
      <c r="B24" s="79"/>
    </row>
    <row r="25" spans="1:4" s="89" customFormat="1" ht="12.75" customHeight="1" x14ac:dyDescent="0.25">
      <c r="A25" s="80" t="s">
        <v>226</v>
      </c>
      <c r="B25" s="79"/>
    </row>
    <row r="26" spans="1:4" s="89" customFormat="1" ht="24.75" customHeight="1" x14ac:dyDescent="0.25">
      <c r="A26" s="82" t="s">
        <v>227</v>
      </c>
      <c r="B26" s="79"/>
    </row>
    <row r="27" spans="1:4" s="89" customFormat="1" ht="12.75" customHeight="1" x14ac:dyDescent="0.25">
      <c r="A27" s="80"/>
      <c r="B27" s="79"/>
    </row>
    <row r="28" spans="1:4" s="89" customFormat="1" ht="12.75" customHeight="1" x14ac:dyDescent="0.25">
      <c r="A28" s="80" t="s">
        <v>228</v>
      </c>
      <c r="B28" s="79"/>
    </row>
    <row r="29" spans="1:4" s="89" customFormat="1" ht="12.75" customHeight="1" x14ac:dyDescent="0.25">
      <c r="A29" s="88"/>
      <c r="B29" s="464"/>
    </row>
    <row r="30" spans="1:4" s="89" customFormat="1" ht="12.75" customHeight="1" x14ac:dyDescent="0.25">
      <c r="A30" s="88"/>
      <c r="B30" s="464"/>
    </row>
    <row r="31" spans="1:4" s="89" customFormat="1" ht="12.75" customHeight="1" x14ac:dyDescent="0.25">
      <c r="A31" s="88"/>
      <c r="B31" s="464"/>
    </row>
    <row r="32" spans="1:4" s="89" customFormat="1" ht="12.75" customHeight="1" x14ac:dyDescent="0.25">
      <c r="A32" s="465" t="s">
        <v>229</v>
      </c>
    </row>
    <row r="33" spans="1:2" ht="14.25" customHeight="1" x14ac:dyDescent="0.25">
      <c r="A33" s="86" t="s">
        <v>230</v>
      </c>
    </row>
    <row r="34" spans="1:2" ht="15" customHeight="1" x14ac:dyDescent="0.25">
      <c r="A34" s="85" t="s">
        <v>231</v>
      </c>
    </row>
    <row r="35" spans="1:2" ht="15" customHeight="1" x14ac:dyDescent="0.25">
      <c r="A35" s="85"/>
    </row>
    <row r="36" spans="1:2" ht="15" customHeight="1" x14ac:dyDescent="0.25">
      <c r="A36" s="85" t="s">
        <v>232</v>
      </c>
    </row>
    <row r="37" spans="1:2" x14ac:dyDescent="0.25">
      <c r="A37" s="87"/>
      <c r="B37" s="88"/>
    </row>
    <row r="38" spans="1:2" x14ac:dyDescent="0.25">
      <c r="A38" s="87"/>
      <c r="B38" s="88"/>
    </row>
    <row r="40" spans="1:2" s="88" customFormat="1" x14ac:dyDescent="0.25">
      <c r="A40" s="86"/>
    </row>
    <row r="41" spans="1:2" s="88" customFormat="1" x14ac:dyDescent="0.25">
      <c r="A41" s="89"/>
    </row>
    <row r="42" spans="1:2" x14ac:dyDescent="0.25">
      <c r="A42" s="89"/>
    </row>
  </sheetData>
  <mergeCells count="1">
    <mergeCell ref="B4:D4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00B0F0"/>
  </sheetPr>
  <dimension ref="A1:I112"/>
  <sheetViews>
    <sheetView showZeros="0" zoomScale="90" zoomScaleNormal="90" workbookViewId="0">
      <pane xSplit="1" ySplit="4" topLeftCell="B5" activePane="bottomRight" state="frozen"/>
      <selection activeCell="C1641" sqref="C1641"/>
      <selection pane="topRight" activeCell="C1641" sqref="C1641"/>
      <selection pane="bottomLeft" activeCell="C1641" sqref="C1641"/>
      <selection pane="bottomRight" activeCell="B25" sqref="B25"/>
    </sheetView>
  </sheetViews>
  <sheetFormatPr defaultColWidth="9.33203125" defaultRowHeight="13.2" x14ac:dyDescent="0.25"/>
  <cols>
    <col min="1" max="1" width="47.44140625" style="18" customWidth="1"/>
    <col min="2" max="2" width="12.5546875" style="18" customWidth="1"/>
    <col min="3" max="4" width="12.5546875" style="18" hidden="1" customWidth="1"/>
    <col min="5" max="5" width="12" style="18" bestFit="1" customWidth="1"/>
    <col min="6" max="6" width="14" style="18" customWidth="1"/>
    <col min="7" max="7" width="12.6640625" style="18" bestFit="1" customWidth="1"/>
    <col min="8" max="8" width="9.33203125" style="18"/>
    <col min="9" max="9" width="22.5546875" style="18" customWidth="1"/>
    <col min="10" max="16384" width="9.33203125" style="18"/>
  </cols>
  <sheetData>
    <row r="1" spans="1:9" ht="13.8" x14ac:dyDescent="0.25">
      <c r="A1" s="12" t="s">
        <v>33</v>
      </c>
      <c r="H1" s="70" t="s">
        <v>207</v>
      </c>
    </row>
    <row r="2" spans="1:9" ht="12.75" customHeight="1" x14ac:dyDescent="0.25">
      <c r="A2" s="12"/>
      <c r="F2" s="71" t="s">
        <v>208</v>
      </c>
    </row>
    <row r="3" spans="1:9" ht="12.75" customHeight="1" x14ac:dyDescent="0.25">
      <c r="A3" s="25"/>
      <c r="B3" s="415" t="s">
        <v>291</v>
      </c>
      <c r="C3" s="415" t="s">
        <v>290</v>
      </c>
      <c r="D3" s="415" t="s">
        <v>292</v>
      </c>
      <c r="E3" s="415" t="s">
        <v>293</v>
      </c>
      <c r="F3" s="416" t="s">
        <v>294</v>
      </c>
      <c r="G3" s="418" t="s">
        <v>295</v>
      </c>
      <c r="H3" s="418"/>
      <c r="I3" s="418"/>
    </row>
    <row r="4" spans="1:9" ht="39.75" customHeight="1" x14ac:dyDescent="0.25">
      <c r="A4" s="25"/>
      <c r="B4" s="415"/>
      <c r="C4" s="415"/>
      <c r="D4" s="415"/>
      <c r="E4" s="415"/>
      <c r="F4" s="417"/>
      <c r="G4" s="63" t="s">
        <v>13</v>
      </c>
      <c r="H4" s="63" t="s">
        <v>209</v>
      </c>
      <c r="I4" s="72" t="s">
        <v>210</v>
      </c>
    </row>
    <row r="5" spans="1:9" ht="12.75" customHeight="1" x14ac:dyDescent="0.25">
      <c r="A5" s="25"/>
      <c r="B5" s="2"/>
      <c r="C5" s="2"/>
      <c r="D5" s="2"/>
    </row>
    <row r="6" spans="1:9" x14ac:dyDescent="0.25">
      <c r="A6" s="211" t="s">
        <v>14</v>
      </c>
      <c r="B6" s="212">
        <f t="shared" ref="B6" si="0">B7+B10</f>
        <v>581400000</v>
      </c>
      <c r="C6" s="212">
        <f>C7</f>
        <v>5343000</v>
      </c>
      <c r="D6" s="212">
        <f>D7</f>
        <v>13500000</v>
      </c>
      <c r="E6" s="212">
        <f t="shared" ref="E6:E37" si="1">SUM(B6:D6)</f>
        <v>600243000</v>
      </c>
      <c r="F6" s="212"/>
      <c r="G6" s="212">
        <f t="shared" ref="G6" si="2">IF(F6=0,0,F6-E6)</f>
        <v>0</v>
      </c>
      <c r="H6" s="234" t="str">
        <f t="shared" ref="H6" si="3">IF(F6=0,"",G6/E6)</f>
        <v/>
      </c>
    </row>
    <row r="7" spans="1:9" ht="12.75" customHeight="1" x14ac:dyDescent="0.25">
      <c r="A7" s="213" t="s">
        <v>25</v>
      </c>
      <c r="B7" s="214">
        <f>B8</f>
        <v>556000000</v>
      </c>
      <c r="C7" s="214">
        <f>C8</f>
        <v>5343000</v>
      </c>
      <c r="D7" s="214">
        <f>D8</f>
        <v>13500000</v>
      </c>
      <c r="E7" s="214">
        <f t="shared" si="1"/>
        <v>574843000</v>
      </c>
      <c r="F7" s="214"/>
      <c r="G7" s="214">
        <f t="shared" ref="G7:G70" si="4">IF(F7=0,0,F7-E7)</f>
        <v>0</v>
      </c>
      <c r="H7" s="235" t="str">
        <f t="shared" ref="H7:H70" si="5">IF(F7=0,"",G7/E7)</f>
        <v/>
      </c>
    </row>
    <row r="8" spans="1:9" ht="12.75" customHeight="1" x14ac:dyDescent="0.25">
      <c r="A8" s="215" t="s">
        <v>24</v>
      </c>
      <c r="B8" s="216">
        <f>523461412+25038588+7500000</f>
        <v>556000000</v>
      </c>
      <c r="C8" s="216">
        <v>5343000</v>
      </c>
      <c r="D8" s="216">
        <v>13500000</v>
      </c>
      <c r="E8" s="216">
        <f t="shared" si="1"/>
        <v>574843000</v>
      </c>
      <c r="F8" s="216"/>
      <c r="G8" s="216">
        <f t="shared" si="4"/>
        <v>0</v>
      </c>
      <c r="H8" s="141" t="str">
        <f t="shared" si="5"/>
        <v/>
      </c>
    </row>
    <row r="9" spans="1:9" x14ac:dyDescent="0.25">
      <c r="A9" s="217"/>
      <c r="B9" s="216"/>
      <c r="C9" s="216"/>
      <c r="D9" s="214"/>
      <c r="E9" s="216">
        <f t="shared" si="1"/>
        <v>0</v>
      </c>
      <c r="F9" s="216"/>
      <c r="G9" s="216">
        <f t="shared" si="4"/>
        <v>0</v>
      </c>
      <c r="H9" s="141" t="str">
        <f t="shared" si="5"/>
        <v/>
      </c>
    </row>
    <row r="10" spans="1:9" ht="12.75" customHeight="1" x14ac:dyDescent="0.25">
      <c r="A10" s="213" t="s">
        <v>26</v>
      </c>
      <c r="B10" s="214">
        <f>B11</f>
        <v>25400000</v>
      </c>
      <c r="C10" s="214"/>
      <c r="D10" s="214"/>
      <c r="E10" s="214">
        <f t="shared" si="1"/>
        <v>25400000</v>
      </c>
      <c r="F10" s="214"/>
      <c r="G10" s="214">
        <f t="shared" si="4"/>
        <v>0</v>
      </c>
      <c r="H10" s="235" t="str">
        <f t="shared" si="5"/>
        <v/>
      </c>
    </row>
    <row r="11" spans="1:9" ht="12.75" customHeight="1" x14ac:dyDescent="0.25">
      <c r="A11" s="215" t="s">
        <v>24</v>
      </c>
      <c r="B11" s="216">
        <v>25400000</v>
      </c>
      <c r="C11" s="216"/>
      <c r="D11" s="214"/>
      <c r="E11" s="216">
        <f t="shared" si="1"/>
        <v>25400000</v>
      </c>
      <c r="F11" s="216"/>
      <c r="G11" s="216">
        <f t="shared" si="4"/>
        <v>0</v>
      </c>
      <c r="H11" s="141" t="str">
        <f t="shared" si="5"/>
        <v/>
      </c>
    </row>
    <row r="12" spans="1:9" x14ac:dyDescent="0.25">
      <c r="A12" s="213"/>
      <c r="B12" s="214"/>
      <c r="C12" s="214"/>
      <c r="D12" s="214"/>
      <c r="E12" s="214">
        <f t="shared" si="1"/>
        <v>0</v>
      </c>
      <c r="F12" s="214"/>
      <c r="G12" s="214">
        <f t="shared" si="4"/>
        <v>0</v>
      </c>
      <c r="H12" s="235" t="str">
        <f t="shared" si="5"/>
        <v/>
      </c>
    </row>
    <row r="13" spans="1:9" x14ac:dyDescent="0.25">
      <c r="A13" s="211" t="s">
        <v>15</v>
      </c>
      <c r="B13" s="212">
        <f t="shared" ref="B13" si="6">B14+B17+B20</f>
        <v>11970000</v>
      </c>
      <c r="C13" s="212"/>
      <c r="D13" s="212">
        <f>D14+D20</f>
        <v>1100000</v>
      </c>
      <c r="E13" s="212">
        <f t="shared" si="1"/>
        <v>13070000</v>
      </c>
      <c r="F13" s="212"/>
      <c r="G13" s="212">
        <f t="shared" si="4"/>
        <v>0</v>
      </c>
      <c r="H13" s="234" t="str">
        <f t="shared" si="5"/>
        <v/>
      </c>
    </row>
    <row r="14" spans="1:9" ht="12.75" customHeight="1" x14ac:dyDescent="0.25">
      <c r="A14" s="218" t="s">
        <v>27</v>
      </c>
      <c r="B14" s="219">
        <f>B15</f>
        <v>5000000</v>
      </c>
      <c r="C14" s="219"/>
      <c r="D14" s="219">
        <f>D15</f>
        <v>100000</v>
      </c>
      <c r="E14" s="219">
        <f t="shared" si="1"/>
        <v>5100000</v>
      </c>
      <c r="F14" s="219"/>
      <c r="G14" s="219">
        <f t="shared" si="4"/>
        <v>0</v>
      </c>
      <c r="H14" s="236" t="str">
        <f t="shared" si="5"/>
        <v/>
      </c>
    </row>
    <row r="15" spans="1:9" ht="12.75" customHeight="1" x14ac:dyDescent="0.25">
      <c r="A15" s="215" t="s">
        <v>179</v>
      </c>
      <c r="B15" s="216">
        <v>5000000</v>
      </c>
      <c r="C15" s="216"/>
      <c r="D15" s="216">
        <v>100000</v>
      </c>
      <c r="E15" s="216">
        <f t="shared" si="1"/>
        <v>5100000</v>
      </c>
      <c r="F15" s="216"/>
      <c r="G15" s="216">
        <f t="shared" si="4"/>
        <v>0</v>
      </c>
      <c r="H15" s="141" t="str">
        <f t="shared" si="5"/>
        <v/>
      </c>
    </row>
    <row r="16" spans="1:9" ht="12.75" customHeight="1" x14ac:dyDescent="0.25">
      <c r="A16" s="220"/>
      <c r="B16" s="221"/>
      <c r="C16" s="221"/>
      <c r="D16" s="221"/>
      <c r="E16" s="221">
        <f t="shared" si="1"/>
        <v>0</v>
      </c>
      <c r="F16" s="221"/>
      <c r="G16" s="221">
        <f t="shared" si="4"/>
        <v>0</v>
      </c>
      <c r="H16" s="237" t="str">
        <f t="shared" si="5"/>
        <v/>
      </c>
    </row>
    <row r="17" spans="1:8" ht="12.75" customHeight="1" x14ac:dyDescent="0.25">
      <c r="A17" s="218" t="s">
        <v>65</v>
      </c>
      <c r="B17" s="219">
        <f t="shared" ref="B17" si="7">B18</f>
        <v>1470000</v>
      </c>
      <c r="C17" s="219"/>
      <c r="D17" s="62"/>
      <c r="E17" s="219">
        <f t="shared" si="1"/>
        <v>1470000</v>
      </c>
      <c r="F17" s="219"/>
      <c r="G17" s="219">
        <f t="shared" si="4"/>
        <v>0</v>
      </c>
      <c r="H17" s="236" t="str">
        <f t="shared" si="5"/>
        <v/>
      </c>
    </row>
    <row r="18" spans="1:8" ht="12.75" customHeight="1" x14ac:dyDescent="0.25">
      <c r="A18" s="222" t="s">
        <v>34</v>
      </c>
      <c r="B18" s="221">
        <f>850000+500000+80000+40000</f>
        <v>1470000</v>
      </c>
      <c r="C18" s="221"/>
      <c r="D18" s="62"/>
      <c r="E18" s="221">
        <f t="shared" si="1"/>
        <v>1470000</v>
      </c>
      <c r="F18" s="221"/>
      <c r="G18" s="221">
        <f t="shared" si="4"/>
        <v>0</v>
      </c>
      <c r="H18" s="237" t="str">
        <f t="shared" si="5"/>
        <v/>
      </c>
    </row>
    <row r="19" spans="1:8" ht="12.75" customHeight="1" x14ac:dyDescent="0.25">
      <c r="A19" s="220"/>
      <c r="B19" s="221"/>
      <c r="C19" s="221"/>
      <c r="D19" s="219"/>
      <c r="E19" s="221">
        <f t="shared" si="1"/>
        <v>0</v>
      </c>
      <c r="F19" s="221"/>
      <c r="G19" s="221">
        <f t="shared" si="4"/>
        <v>0</v>
      </c>
      <c r="H19" s="237" t="str">
        <f t="shared" si="5"/>
        <v/>
      </c>
    </row>
    <row r="20" spans="1:8" x14ac:dyDescent="0.25">
      <c r="A20" s="218" t="s">
        <v>28</v>
      </c>
      <c r="B20" s="219">
        <f t="shared" ref="B20" si="8">B21</f>
        <v>5500000</v>
      </c>
      <c r="C20" s="219"/>
      <c r="D20" s="219">
        <f>SUM(D21)</f>
        <v>1000000</v>
      </c>
      <c r="E20" s="219">
        <f t="shared" si="1"/>
        <v>6500000</v>
      </c>
      <c r="F20" s="219"/>
      <c r="G20" s="219">
        <f t="shared" si="4"/>
        <v>0</v>
      </c>
      <c r="H20" s="236" t="str">
        <f t="shared" si="5"/>
        <v/>
      </c>
    </row>
    <row r="21" spans="1:8" x14ac:dyDescent="0.25">
      <c r="A21" s="222" t="s">
        <v>34</v>
      </c>
      <c r="B21" s="221">
        <v>5500000</v>
      </c>
      <c r="C21" s="221"/>
      <c r="D21" s="221">
        <v>1000000</v>
      </c>
      <c r="E21" s="221">
        <f t="shared" si="1"/>
        <v>6500000</v>
      </c>
      <c r="F21" s="221"/>
      <c r="G21" s="221">
        <f t="shared" si="4"/>
        <v>0</v>
      </c>
      <c r="H21" s="237" t="str">
        <f t="shared" si="5"/>
        <v/>
      </c>
    </row>
    <row r="22" spans="1:8" x14ac:dyDescent="0.25">
      <c r="A22" s="223"/>
      <c r="B22" s="221"/>
      <c r="C22" s="221"/>
      <c r="D22" s="219"/>
      <c r="E22" s="221">
        <f t="shared" si="1"/>
        <v>0</v>
      </c>
      <c r="F22" s="221"/>
      <c r="G22" s="221">
        <f t="shared" si="4"/>
        <v>0</v>
      </c>
      <c r="H22" s="237" t="str">
        <f t="shared" si="5"/>
        <v/>
      </c>
    </row>
    <row r="23" spans="1:8" ht="12.75" customHeight="1" x14ac:dyDescent="0.25">
      <c r="A23" s="211" t="s">
        <v>16</v>
      </c>
      <c r="B23" s="212">
        <f>SUM(B24:B27)</f>
        <v>493024</v>
      </c>
      <c r="C23" s="212"/>
      <c r="D23" s="219"/>
      <c r="E23" s="212">
        <f t="shared" si="1"/>
        <v>493024</v>
      </c>
      <c r="F23" s="212"/>
      <c r="G23" s="212">
        <f t="shared" si="4"/>
        <v>0</v>
      </c>
      <c r="H23" s="234" t="str">
        <f t="shared" si="5"/>
        <v/>
      </c>
    </row>
    <row r="24" spans="1:8" x14ac:dyDescent="0.25">
      <c r="A24" s="222" t="s">
        <v>178</v>
      </c>
      <c r="B24" s="221">
        <v>2800</v>
      </c>
      <c r="C24" s="221"/>
      <c r="D24" s="219"/>
      <c r="E24" s="221">
        <f t="shared" si="1"/>
        <v>2800</v>
      </c>
      <c r="F24" s="221"/>
      <c r="G24" s="221">
        <f t="shared" si="4"/>
        <v>0</v>
      </c>
      <c r="H24" s="237" t="str">
        <f t="shared" si="5"/>
        <v/>
      </c>
    </row>
    <row r="25" spans="1:8" x14ac:dyDescent="0.25">
      <c r="A25" s="222" t="s">
        <v>34</v>
      </c>
      <c r="B25" s="221">
        <v>224</v>
      </c>
      <c r="C25" s="221"/>
      <c r="D25" s="219"/>
      <c r="E25" s="221">
        <f t="shared" si="1"/>
        <v>224</v>
      </c>
      <c r="F25" s="221"/>
      <c r="G25" s="221">
        <f t="shared" si="4"/>
        <v>0</v>
      </c>
      <c r="H25" s="237" t="str">
        <f t="shared" si="5"/>
        <v/>
      </c>
    </row>
    <row r="26" spans="1:8" x14ac:dyDescent="0.25">
      <c r="A26" s="222" t="s">
        <v>39</v>
      </c>
      <c r="B26" s="221">
        <v>60000</v>
      </c>
      <c r="C26" s="221"/>
      <c r="D26" s="219"/>
      <c r="E26" s="221">
        <f t="shared" si="1"/>
        <v>60000</v>
      </c>
      <c r="F26" s="221"/>
      <c r="G26" s="221">
        <f t="shared" si="4"/>
        <v>0</v>
      </c>
      <c r="H26" s="237" t="str">
        <f t="shared" si="5"/>
        <v/>
      </c>
    </row>
    <row r="27" spans="1:8" ht="12.75" customHeight="1" x14ac:dyDescent="0.25">
      <c r="A27" s="215" t="s">
        <v>35</v>
      </c>
      <c r="B27" s="216">
        <v>430000</v>
      </c>
      <c r="C27" s="216"/>
      <c r="D27" s="219"/>
      <c r="E27" s="216">
        <f t="shared" si="1"/>
        <v>430000</v>
      </c>
      <c r="F27" s="216"/>
      <c r="G27" s="216">
        <f t="shared" si="4"/>
        <v>0</v>
      </c>
      <c r="H27" s="141" t="str">
        <f t="shared" si="5"/>
        <v/>
      </c>
    </row>
    <row r="28" spans="1:8" x14ac:dyDescent="0.25">
      <c r="A28" s="223"/>
      <c r="B28" s="221"/>
      <c r="C28" s="221"/>
      <c r="D28" s="219"/>
      <c r="E28" s="221">
        <f t="shared" si="1"/>
        <v>0</v>
      </c>
      <c r="F28" s="221"/>
      <c r="G28" s="221">
        <f t="shared" si="4"/>
        <v>0</v>
      </c>
      <c r="H28" s="237" t="str">
        <f t="shared" si="5"/>
        <v/>
      </c>
    </row>
    <row r="29" spans="1:8" x14ac:dyDescent="0.25">
      <c r="A29" s="224" t="s">
        <v>58</v>
      </c>
      <c r="B29" s="203">
        <f>B30+B32</f>
        <v>852000</v>
      </c>
      <c r="C29" s="203"/>
      <c r="D29" s="219"/>
      <c r="E29" s="203">
        <f t="shared" si="1"/>
        <v>852000</v>
      </c>
      <c r="F29" s="203"/>
      <c r="G29" s="203">
        <f t="shared" si="4"/>
        <v>0</v>
      </c>
      <c r="H29" s="238" t="str">
        <f t="shared" si="5"/>
        <v/>
      </c>
    </row>
    <row r="30" spans="1:8" x14ac:dyDescent="0.25">
      <c r="A30" s="225" t="s">
        <v>36</v>
      </c>
      <c r="B30" s="214">
        <f>B31</f>
        <v>487000</v>
      </c>
      <c r="C30" s="214"/>
      <c r="D30" s="219"/>
      <c r="E30" s="214">
        <f t="shared" si="1"/>
        <v>487000</v>
      </c>
      <c r="F30" s="214"/>
      <c r="G30" s="214">
        <f t="shared" si="4"/>
        <v>0</v>
      </c>
      <c r="H30" s="235" t="str">
        <f t="shared" si="5"/>
        <v/>
      </c>
    </row>
    <row r="31" spans="1:8" ht="12.75" customHeight="1" x14ac:dyDescent="0.25">
      <c r="A31" s="215" t="s">
        <v>37</v>
      </c>
      <c r="B31" s="216">
        <v>487000</v>
      </c>
      <c r="C31" s="216"/>
      <c r="D31" s="219"/>
      <c r="E31" s="216">
        <f t="shared" si="1"/>
        <v>487000</v>
      </c>
      <c r="F31" s="216"/>
      <c r="G31" s="216">
        <f t="shared" si="4"/>
        <v>0</v>
      </c>
      <c r="H31" s="141" t="str">
        <f t="shared" si="5"/>
        <v/>
      </c>
    </row>
    <row r="32" spans="1:8" ht="12.75" customHeight="1" x14ac:dyDescent="0.25">
      <c r="A32" s="225" t="s">
        <v>38</v>
      </c>
      <c r="B32" s="214">
        <f t="shared" ref="B32" si="9">B33</f>
        <v>365000</v>
      </c>
      <c r="C32" s="214"/>
      <c r="D32" s="219"/>
      <c r="E32" s="214">
        <f t="shared" si="1"/>
        <v>365000</v>
      </c>
      <c r="F32" s="214"/>
      <c r="G32" s="214">
        <f t="shared" si="4"/>
        <v>0</v>
      </c>
      <c r="H32" s="235" t="str">
        <f t="shared" si="5"/>
        <v/>
      </c>
    </row>
    <row r="33" spans="1:8" x14ac:dyDescent="0.25">
      <c r="A33" s="215" t="s">
        <v>37</v>
      </c>
      <c r="B33" s="216">
        <v>365000</v>
      </c>
      <c r="C33" s="216"/>
      <c r="D33" s="219"/>
      <c r="E33" s="216">
        <f t="shared" si="1"/>
        <v>365000</v>
      </c>
      <c r="F33" s="216"/>
      <c r="G33" s="216">
        <f t="shared" si="4"/>
        <v>0</v>
      </c>
      <c r="H33" s="141" t="str">
        <f t="shared" si="5"/>
        <v/>
      </c>
    </row>
    <row r="34" spans="1:8" x14ac:dyDescent="0.25">
      <c r="A34" s="218"/>
      <c r="B34" s="219"/>
      <c r="C34" s="219"/>
      <c r="D34" s="219"/>
      <c r="E34" s="219">
        <f t="shared" si="1"/>
        <v>0</v>
      </c>
      <c r="F34" s="219"/>
      <c r="G34" s="219">
        <f t="shared" si="4"/>
        <v>0</v>
      </c>
      <c r="H34" s="236" t="str">
        <f t="shared" si="5"/>
        <v/>
      </c>
    </row>
    <row r="35" spans="1:8" ht="12.75" customHeight="1" x14ac:dyDescent="0.25">
      <c r="A35" s="211" t="s">
        <v>17</v>
      </c>
      <c r="B35" s="212">
        <f>B37+B42</f>
        <v>676000</v>
      </c>
      <c r="C35" s="212"/>
      <c r="D35" s="212">
        <f>D37+D42</f>
        <v>426308</v>
      </c>
      <c r="E35" s="212">
        <f t="shared" si="1"/>
        <v>1102308</v>
      </c>
      <c r="F35" s="212"/>
      <c r="G35" s="212">
        <f t="shared" si="4"/>
        <v>0</v>
      </c>
      <c r="H35" s="234" t="str">
        <f t="shared" si="5"/>
        <v/>
      </c>
    </row>
    <row r="36" spans="1:8" ht="12.75" customHeight="1" x14ac:dyDescent="0.25">
      <c r="A36" s="223"/>
      <c r="B36" s="221"/>
      <c r="C36" s="221"/>
      <c r="D36" s="221"/>
      <c r="E36" s="221">
        <f t="shared" si="1"/>
        <v>0</v>
      </c>
      <c r="F36" s="221"/>
      <c r="G36" s="221">
        <f t="shared" si="4"/>
        <v>0</v>
      </c>
      <c r="H36" s="237" t="str">
        <f t="shared" si="5"/>
        <v/>
      </c>
    </row>
    <row r="37" spans="1:8" x14ac:dyDescent="0.25">
      <c r="A37" s="218" t="s">
        <v>29</v>
      </c>
      <c r="B37" s="219">
        <f t="shared" ref="B37" si="10">B38+B39</f>
        <v>636000</v>
      </c>
      <c r="C37" s="219"/>
      <c r="D37" s="219">
        <f>SUM(D40:D40)</f>
        <v>200</v>
      </c>
      <c r="E37" s="219">
        <f t="shared" si="1"/>
        <v>636200</v>
      </c>
      <c r="F37" s="219"/>
      <c r="G37" s="219">
        <f t="shared" si="4"/>
        <v>0</v>
      </c>
      <c r="H37" s="236" t="str">
        <f t="shared" si="5"/>
        <v/>
      </c>
    </row>
    <row r="38" spans="1:8" x14ac:dyDescent="0.25">
      <c r="A38" s="215" t="s">
        <v>34</v>
      </c>
      <c r="B38" s="216">
        <v>16000</v>
      </c>
      <c r="C38" s="216"/>
      <c r="D38" s="219"/>
      <c r="E38" s="216">
        <f t="shared" ref="E38:E69" si="11">SUM(B38:D38)</f>
        <v>16000</v>
      </c>
      <c r="F38" s="216"/>
      <c r="G38" s="216">
        <f t="shared" si="4"/>
        <v>0</v>
      </c>
      <c r="H38" s="141" t="str">
        <f t="shared" si="5"/>
        <v/>
      </c>
    </row>
    <row r="39" spans="1:8" x14ac:dyDescent="0.25">
      <c r="A39" s="215" t="s">
        <v>39</v>
      </c>
      <c r="B39" s="216">
        <v>620000</v>
      </c>
      <c r="C39" s="216"/>
      <c r="D39" s="219"/>
      <c r="E39" s="216">
        <f t="shared" si="11"/>
        <v>620000</v>
      </c>
      <c r="F39" s="216"/>
      <c r="G39" s="216">
        <f t="shared" si="4"/>
        <v>0</v>
      </c>
      <c r="H39" s="141" t="str">
        <f t="shared" si="5"/>
        <v/>
      </c>
    </row>
    <row r="40" spans="1:8" x14ac:dyDescent="0.25">
      <c r="A40" s="215" t="s">
        <v>174</v>
      </c>
      <c r="B40" s="221"/>
      <c r="C40" s="221"/>
      <c r="D40" s="216">
        <v>200</v>
      </c>
      <c r="E40" s="221">
        <f t="shared" si="11"/>
        <v>200</v>
      </c>
      <c r="F40" s="221"/>
      <c r="G40" s="221">
        <f t="shared" si="4"/>
        <v>0</v>
      </c>
      <c r="H40" s="237" t="str">
        <f t="shared" si="5"/>
        <v/>
      </c>
    </row>
    <row r="41" spans="1:8" x14ac:dyDescent="0.25">
      <c r="A41" s="220"/>
      <c r="B41" s="221"/>
      <c r="C41" s="221"/>
      <c r="D41" s="216"/>
      <c r="E41" s="221">
        <f t="shared" si="11"/>
        <v>0</v>
      </c>
      <c r="F41" s="221"/>
      <c r="G41" s="221">
        <f t="shared" si="4"/>
        <v>0</v>
      </c>
      <c r="H41" s="237" t="str">
        <f t="shared" si="5"/>
        <v/>
      </c>
    </row>
    <row r="42" spans="1:8" x14ac:dyDescent="0.25">
      <c r="A42" s="218" t="s">
        <v>57</v>
      </c>
      <c r="B42" s="219">
        <f>B43</f>
        <v>40000</v>
      </c>
      <c r="C42" s="219"/>
      <c r="D42" s="219">
        <f>D46+D48+D50+D52</f>
        <v>426108</v>
      </c>
      <c r="E42" s="219">
        <f t="shared" si="11"/>
        <v>466108</v>
      </c>
      <c r="F42" s="219"/>
      <c r="G42" s="219">
        <f t="shared" si="4"/>
        <v>0</v>
      </c>
      <c r="H42" s="236" t="str">
        <f t="shared" si="5"/>
        <v/>
      </c>
    </row>
    <row r="43" spans="1:8" x14ac:dyDescent="0.25">
      <c r="A43" s="226" t="s">
        <v>5</v>
      </c>
      <c r="B43" s="219">
        <f>B44+B45</f>
        <v>40000</v>
      </c>
      <c r="C43" s="219"/>
      <c r="D43" s="219"/>
      <c r="E43" s="219">
        <f t="shared" si="11"/>
        <v>40000</v>
      </c>
      <c r="F43" s="219"/>
      <c r="G43" s="219">
        <f t="shared" si="4"/>
        <v>0</v>
      </c>
      <c r="H43" s="236" t="str">
        <f t="shared" si="5"/>
        <v/>
      </c>
    </row>
    <row r="44" spans="1:8" x14ac:dyDescent="0.25">
      <c r="A44" s="227" t="s">
        <v>179</v>
      </c>
      <c r="B44" s="216">
        <v>15000</v>
      </c>
      <c r="C44" s="216"/>
      <c r="D44" s="219"/>
      <c r="E44" s="216">
        <f t="shared" si="11"/>
        <v>15000</v>
      </c>
      <c r="F44" s="216"/>
      <c r="G44" s="216">
        <f t="shared" si="4"/>
        <v>0</v>
      </c>
      <c r="H44" s="141" t="str">
        <f t="shared" si="5"/>
        <v/>
      </c>
    </row>
    <row r="45" spans="1:8" x14ac:dyDescent="0.25">
      <c r="A45" s="227" t="s">
        <v>35</v>
      </c>
      <c r="B45" s="216">
        <v>25000</v>
      </c>
      <c r="C45" s="216"/>
      <c r="D45" s="219"/>
      <c r="E45" s="216">
        <f t="shared" si="11"/>
        <v>25000</v>
      </c>
      <c r="F45" s="216"/>
      <c r="G45" s="216">
        <f t="shared" si="4"/>
        <v>0</v>
      </c>
      <c r="H45" s="141" t="str">
        <f t="shared" si="5"/>
        <v/>
      </c>
    </row>
    <row r="46" spans="1:8" x14ac:dyDescent="0.25">
      <c r="A46" s="228" t="s">
        <v>286</v>
      </c>
      <c r="B46" s="221"/>
      <c r="C46" s="221"/>
      <c r="D46" s="229">
        <f>SUM(D47)</f>
        <v>300000</v>
      </c>
      <c r="E46" s="221">
        <f t="shared" si="11"/>
        <v>300000</v>
      </c>
      <c r="F46" s="221"/>
      <c r="G46" s="221">
        <f t="shared" si="4"/>
        <v>0</v>
      </c>
      <c r="H46" s="237" t="str">
        <f t="shared" si="5"/>
        <v/>
      </c>
    </row>
    <row r="47" spans="1:8" x14ac:dyDescent="0.25">
      <c r="A47" s="65" t="s">
        <v>128</v>
      </c>
      <c r="B47" s="221"/>
      <c r="C47" s="221"/>
      <c r="D47" s="230">
        <v>300000</v>
      </c>
      <c r="E47" s="221">
        <f t="shared" si="11"/>
        <v>300000</v>
      </c>
      <c r="F47" s="221"/>
      <c r="G47" s="221">
        <f t="shared" si="4"/>
        <v>0</v>
      </c>
      <c r="H47" s="237" t="str">
        <f t="shared" si="5"/>
        <v/>
      </c>
    </row>
    <row r="48" spans="1:8" x14ac:dyDescent="0.25">
      <c r="A48" s="226" t="s">
        <v>287</v>
      </c>
      <c r="B48" s="221"/>
      <c r="C48" s="221"/>
      <c r="D48" s="219">
        <f>SUM(D49)</f>
        <v>6010</v>
      </c>
      <c r="E48" s="221">
        <f t="shared" si="11"/>
        <v>6010</v>
      </c>
      <c r="F48" s="221"/>
      <c r="G48" s="221">
        <f t="shared" si="4"/>
        <v>0</v>
      </c>
      <c r="H48" s="237" t="str">
        <f t="shared" si="5"/>
        <v/>
      </c>
    </row>
    <row r="49" spans="1:8" x14ac:dyDescent="0.25">
      <c r="A49" s="65" t="s">
        <v>81</v>
      </c>
      <c r="B49" s="221"/>
      <c r="C49" s="221"/>
      <c r="D49" s="216">
        <v>6010</v>
      </c>
      <c r="E49" s="221">
        <f t="shared" si="11"/>
        <v>6010</v>
      </c>
      <c r="F49" s="221"/>
      <c r="G49" s="221">
        <f t="shared" si="4"/>
        <v>0</v>
      </c>
      <c r="H49" s="237" t="str">
        <f t="shared" si="5"/>
        <v/>
      </c>
    </row>
    <row r="50" spans="1:8" s="62" customFormat="1" x14ac:dyDescent="0.25">
      <c r="A50" s="226" t="s">
        <v>288</v>
      </c>
      <c r="B50" s="221"/>
      <c r="C50" s="221"/>
      <c r="D50" s="219">
        <f>D51</f>
        <v>29990</v>
      </c>
      <c r="E50" s="221">
        <f t="shared" si="11"/>
        <v>29990</v>
      </c>
      <c r="F50" s="221"/>
      <c r="G50" s="221">
        <f t="shared" si="4"/>
        <v>0</v>
      </c>
      <c r="H50" s="237" t="str">
        <f t="shared" si="5"/>
        <v/>
      </c>
    </row>
    <row r="51" spans="1:8" s="62" customFormat="1" x14ac:dyDescent="0.25">
      <c r="A51" s="215" t="s">
        <v>47</v>
      </c>
      <c r="B51" s="221"/>
      <c r="C51" s="221"/>
      <c r="D51" s="216">
        <v>29990</v>
      </c>
      <c r="E51" s="221">
        <f t="shared" si="11"/>
        <v>29990</v>
      </c>
      <c r="F51" s="221"/>
      <c r="G51" s="221">
        <f t="shared" si="4"/>
        <v>0</v>
      </c>
      <c r="H51" s="237" t="str">
        <f t="shared" si="5"/>
        <v/>
      </c>
    </row>
    <row r="52" spans="1:8" x14ac:dyDescent="0.25">
      <c r="A52" s="226" t="s">
        <v>6</v>
      </c>
      <c r="B52" s="221"/>
      <c r="C52" s="221"/>
      <c r="D52" s="219">
        <f>D53+D54+D55</f>
        <v>90108</v>
      </c>
      <c r="E52" s="221">
        <f t="shared" si="11"/>
        <v>90108</v>
      </c>
      <c r="F52" s="221"/>
      <c r="G52" s="221">
        <f t="shared" si="4"/>
        <v>0</v>
      </c>
      <c r="H52" s="237" t="str">
        <f t="shared" si="5"/>
        <v/>
      </c>
    </row>
    <row r="53" spans="1:8" x14ac:dyDescent="0.25">
      <c r="A53" s="215" t="s">
        <v>47</v>
      </c>
      <c r="B53" s="221"/>
      <c r="C53" s="221"/>
      <c r="D53" s="216">
        <v>63</v>
      </c>
      <c r="E53" s="221">
        <f t="shared" si="11"/>
        <v>63</v>
      </c>
      <c r="F53" s="221"/>
      <c r="G53" s="221">
        <f t="shared" si="4"/>
        <v>0</v>
      </c>
      <c r="H53" s="237" t="str">
        <f t="shared" si="5"/>
        <v/>
      </c>
    </row>
    <row r="54" spans="1:8" x14ac:dyDescent="0.25">
      <c r="A54" s="215" t="s">
        <v>174</v>
      </c>
      <c r="B54" s="221"/>
      <c r="C54" s="221"/>
      <c r="D54" s="216">
        <v>45</v>
      </c>
      <c r="E54" s="221">
        <f t="shared" si="11"/>
        <v>45</v>
      </c>
      <c r="F54" s="221"/>
      <c r="G54" s="221">
        <f t="shared" si="4"/>
        <v>0</v>
      </c>
      <c r="H54" s="237" t="str">
        <f t="shared" si="5"/>
        <v/>
      </c>
    </row>
    <row r="55" spans="1:8" x14ac:dyDescent="0.25">
      <c r="A55" s="215" t="s">
        <v>37</v>
      </c>
      <c r="B55" s="221"/>
      <c r="C55" s="221"/>
      <c r="D55" s="216">
        <v>90000</v>
      </c>
      <c r="E55" s="221">
        <f t="shared" si="11"/>
        <v>90000</v>
      </c>
      <c r="F55" s="221"/>
      <c r="G55" s="221">
        <f t="shared" si="4"/>
        <v>0</v>
      </c>
      <c r="H55" s="237" t="str">
        <f t="shared" si="5"/>
        <v/>
      </c>
    </row>
    <row r="56" spans="1:8" x14ac:dyDescent="0.25">
      <c r="A56" s="220"/>
      <c r="B56" s="221"/>
      <c r="C56" s="221"/>
      <c r="D56" s="219"/>
      <c r="E56" s="221">
        <f t="shared" si="11"/>
        <v>0</v>
      </c>
      <c r="F56" s="221"/>
      <c r="G56" s="221">
        <f t="shared" si="4"/>
        <v>0</v>
      </c>
      <c r="H56" s="237" t="str">
        <f t="shared" si="5"/>
        <v/>
      </c>
    </row>
    <row r="57" spans="1:8" s="20" customFormat="1" ht="15" customHeight="1" x14ac:dyDescent="0.25">
      <c r="A57" s="211" t="s">
        <v>18</v>
      </c>
      <c r="B57" s="212">
        <f>B58+B60</f>
        <v>297000</v>
      </c>
      <c r="C57" s="212"/>
      <c r="D57" s="219"/>
      <c r="E57" s="212">
        <f t="shared" si="11"/>
        <v>297000</v>
      </c>
      <c r="F57" s="212"/>
      <c r="G57" s="212">
        <f t="shared" si="4"/>
        <v>0</v>
      </c>
      <c r="H57" s="234" t="str">
        <f t="shared" si="5"/>
        <v/>
      </c>
    </row>
    <row r="58" spans="1:8" x14ac:dyDescent="0.25">
      <c r="A58" s="218" t="s">
        <v>30</v>
      </c>
      <c r="B58" s="219">
        <f>B59</f>
        <v>6000</v>
      </c>
      <c r="C58" s="219"/>
      <c r="D58" s="219"/>
      <c r="E58" s="219">
        <f t="shared" si="11"/>
        <v>6000</v>
      </c>
      <c r="F58" s="219"/>
      <c r="G58" s="219">
        <f t="shared" si="4"/>
        <v>0</v>
      </c>
      <c r="H58" s="236" t="str">
        <f t="shared" si="5"/>
        <v/>
      </c>
    </row>
    <row r="59" spans="1:8" x14ac:dyDescent="0.25">
      <c r="A59" s="215" t="s">
        <v>24</v>
      </c>
      <c r="B59" s="216">
        <v>6000</v>
      </c>
      <c r="C59" s="216"/>
      <c r="D59" s="219"/>
      <c r="E59" s="216">
        <f t="shared" si="11"/>
        <v>6000</v>
      </c>
      <c r="F59" s="216"/>
      <c r="G59" s="216">
        <f t="shared" si="4"/>
        <v>0</v>
      </c>
      <c r="H59" s="141" t="str">
        <f t="shared" si="5"/>
        <v/>
      </c>
    </row>
    <row r="60" spans="1:8" x14ac:dyDescent="0.25">
      <c r="A60" s="218" t="s">
        <v>180</v>
      </c>
      <c r="B60" s="219">
        <v>291000</v>
      </c>
      <c r="C60" s="219"/>
      <c r="D60" s="219"/>
      <c r="E60" s="219">
        <f t="shared" si="11"/>
        <v>291000</v>
      </c>
      <c r="F60" s="219"/>
      <c r="G60" s="219">
        <f t="shared" si="4"/>
        <v>0</v>
      </c>
      <c r="H60" s="236" t="str">
        <f t="shared" si="5"/>
        <v/>
      </c>
    </row>
    <row r="61" spans="1:8" ht="13.5" customHeight="1" x14ac:dyDescent="0.25">
      <c r="A61" s="218"/>
      <c r="B61" s="219"/>
      <c r="C61" s="219"/>
      <c r="D61" s="219"/>
      <c r="E61" s="219">
        <f t="shared" si="11"/>
        <v>0</v>
      </c>
      <c r="F61" s="219"/>
      <c r="G61" s="219">
        <f t="shared" si="4"/>
        <v>0</v>
      </c>
      <c r="H61" s="236" t="str">
        <f t="shared" si="5"/>
        <v/>
      </c>
    </row>
    <row r="62" spans="1:8" x14ac:dyDescent="0.25">
      <c r="A62" s="211" t="s">
        <v>31</v>
      </c>
      <c r="B62" s="212">
        <f>B63+B67+B68+B71+B69</f>
        <v>474100</v>
      </c>
      <c r="C62" s="212"/>
      <c r="D62" s="212">
        <f>D63+D69</f>
        <v>361116</v>
      </c>
      <c r="E62" s="212">
        <f t="shared" si="11"/>
        <v>835216</v>
      </c>
      <c r="F62" s="212"/>
      <c r="G62" s="212">
        <f t="shared" si="4"/>
        <v>0</v>
      </c>
      <c r="H62" s="234" t="str">
        <f t="shared" si="5"/>
        <v/>
      </c>
    </row>
    <row r="63" spans="1:8" x14ac:dyDescent="0.25">
      <c r="A63" s="225" t="s">
        <v>40</v>
      </c>
      <c r="B63" s="214">
        <f>B64</f>
        <v>650000</v>
      </c>
      <c r="C63" s="214"/>
      <c r="D63" s="214">
        <f>D64+D65+D66</f>
        <v>355116</v>
      </c>
      <c r="E63" s="214">
        <f t="shared" si="11"/>
        <v>1005116</v>
      </c>
      <c r="F63" s="214"/>
      <c r="G63" s="214">
        <f t="shared" si="4"/>
        <v>0</v>
      </c>
      <c r="H63" s="235" t="str">
        <f t="shared" si="5"/>
        <v/>
      </c>
    </row>
    <row r="64" spans="1:8" x14ac:dyDescent="0.25">
      <c r="A64" s="215" t="s">
        <v>37</v>
      </c>
      <c r="B64" s="216">
        <v>650000</v>
      </c>
      <c r="C64" s="216"/>
      <c r="D64" s="216">
        <v>350000</v>
      </c>
      <c r="E64" s="216">
        <f t="shared" si="11"/>
        <v>1000000</v>
      </c>
      <c r="F64" s="216"/>
      <c r="G64" s="216">
        <f t="shared" si="4"/>
        <v>0</v>
      </c>
      <c r="H64" s="141" t="str">
        <f t="shared" si="5"/>
        <v/>
      </c>
    </row>
    <row r="65" spans="1:8" x14ac:dyDescent="0.25">
      <c r="A65" s="215" t="s">
        <v>47</v>
      </c>
      <c r="B65" s="216"/>
      <c r="C65" s="216"/>
      <c r="D65" s="216">
        <v>1116</v>
      </c>
      <c r="E65" s="216">
        <f t="shared" si="11"/>
        <v>1116</v>
      </c>
      <c r="F65" s="216"/>
      <c r="G65" s="216">
        <f t="shared" si="4"/>
        <v>0</v>
      </c>
      <c r="H65" s="141" t="str">
        <f t="shared" si="5"/>
        <v/>
      </c>
    </row>
    <row r="66" spans="1:8" x14ac:dyDescent="0.25">
      <c r="A66" s="215" t="s">
        <v>272</v>
      </c>
      <c r="B66" s="216"/>
      <c r="C66" s="216"/>
      <c r="D66" s="216">
        <v>4000</v>
      </c>
      <c r="E66" s="216">
        <f t="shared" si="11"/>
        <v>4000</v>
      </c>
      <c r="F66" s="216"/>
      <c r="G66" s="216">
        <f t="shared" si="4"/>
        <v>0</v>
      </c>
      <c r="H66" s="141" t="str">
        <f t="shared" si="5"/>
        <v/>
      </c>
    </row>
    <row r="67" spans="1:8" s="20" customFormat="1" x14ac:dyDescent="0.25">
      <c r="A67" s="225" t="s">
        <v>7</v>
      </c>
      <c r="B67" s="214">
        <v>-220000</v>
      </c>
      <c r="C67" s="214"/>
      <c r="D67" s="216"/>
      <c r="E67" s="214">
        <f t="shared" si="11"/>
        <v>-220000</v>
      </c>
      <c r="F67" s="214"/>
      <c r="G67" s="214">
        <f t="shared" si="4"/>
        <v>0</v>
      </c>
      <c r="H67" s="235" t="str">
        <f t="shared" si="5"/>
        <v/>
      </c>
    </row>
    <row r="68" spans="1:8" s="20" customFormat="1" x14ac:dyDescent="0.25">
      <c r="A68" s="225" t="s">
        <v>19</v>
      </c>
      <c r="B68" s="214">
        <v>-10000</v>
      </c>
      <c r="C68" s="214"/>
      <c r="D68" s="216"/>
      <c r="E68" s="214">
        <f t="shared" si="11"/>
        <v>-10000</v>
      </c>
      <c r="F68" s="214"/>
      <c r="G68" s="214">
        <f t="shared" si="4"/>
        <v>0</v>
      </c>
      <c r="H68" s="235" t="str">
        <f t="shared" si="5"/>
        <v/>
      </c>
    </row>
    <row r="69" spans="1:8" s="20" customFormat="1" x14ac:dyDescent="0.25">
      <c r="A69" s="225" t="s">
        <v>200</v>
      </c>
      <c r="B69" s="214">
        <f>B70</f>
        <v>15000</v>
      </c>
      <c r="C69" s="214"/>
      <c r="D69" s="214">
        <f>D70</f>
        <v>6000</v>
      </c>
      <c r="E69" s="214">
        <f t="shared" si="11"/>
        <v>21000</v>
      </c>
      <c r="F69" s="214"/>
      <c r="G69" s="214">
        <f t="shared" si="4"/>
        <v>0</v>
      </c>
      <c r="H69" s="235" t="str">
        <f t="shared" si="5"/>
        <v/>
      </c>
    </row>
    <row r="70" spans="1:8" s="20" customFormat="1" x14ac:dyDescent="0.25">
      <c r="A70" s="215" t="s">
        <v>174</v>
      </c>
      <c r="B70" s="216">
        <v>15000</v>
      </c>
      <c r="C70" s="216"/>
      <c r="D70" s="216">
        <v>6000</v>
      </c>
      <c r="E70" s="216">
        <f t="shared" ref="E70:E87" si="12">SUM(B70:D70)</f>
        <v>21000</v>
      </c>
      <c r="F70" s="216"/>
      <c r="G70" s="216">
        <f t="shared" si="4"/>
        <v>0</v>
      </c>
      <c r="H70" s="141" t="str">
        <f t="shared" si="5"/>
        <v/>
      </c>
    </row>
    <row r="71" spans="1:8" s="20" customFormat="1" x14ac:dyDescent="0.25">
      <c r="A71" s="225" t="s">
        <v>130</v>
      </c>
      <c r="B71" s="214">
        <f>B72+B73+B75+B74</f>
        <v>39100</v>
      </c>
      <c r="C71" s="214"/>
      <c r="D71" s="214"/>
      <c r="E71" s="214">
        <f t="shared" si="12"/>
        <v>39100</v>
      </c>
      <c r="F71" s="214"/>
      <c r="G71" s="214">
        <f t="shared" ref="G71:G112" si="13">IF(F71=0,0,F71-E71)</f>
        <v>0</v>
      </c>
      <c r="H71" s="235" t="str">
        <f t="shared" ref="H71:H112" si="14">IF(F71=0,"",G71/E71)</f>
        <v/>
      </c>
    </row>
    <row r="72" spans="1:8" s="20" customFormat="1" x14ac:dyDescent="0.25">
      <c r="A72" s="215" t="s">
        <v>174</v>
      </c>
      <c r="B72" s="216">
        <f>4000+1000</f>
        <v>5000</v>
      </c>
      <c r="C72" s="216"/>
      <c r="D72" s="214"/>
      <c r="E72" s="216">
        <f t="shared" si="12"/>
        <v>5000</v>
      </c>
      <c r="F72" s="216"/>
      <c r="G72" s="216">
        <f t="shared" si="13"/>
        <v>0</v>
      </c>
      <c r="H72" s="141" t="str">
        <f t="shared" si="14"/>
        <v/>
      </c>
    </row>
    <row r="73" spans="1:8" s="20" customFormat="1" x14ac:dyDescent="0.25">
      <c r="A73" s="215" t="s">
        <v>133</v>
      </c>
      <c r="B73" s="216">
        <v>30600</v>
      </c>
      <c r="C73" s="216"/>
      <c r="D73" s="214"/>
      <c r="E73" s="216">
        <f t="shared" si="12"/>
        <v>30600</v>
      </c>
      <c r="F73" s="216"/>
      <c r="G73" s="216">
        <f t="shared" si="13"/>
        <v>0</v>
      </c>
      <c r="H73" s="141" t="str">
        <f t="shared" si="14"/>
        <v/>
      </c>
    </row>
    <row r="74" spans="1:8" s="20" customFormat="1" x14ac:dyDescent="0.25">
      <c r="A74" s="215" t="s">
        <v>204</v>
      </c>
      <c r="B74" s="216">
        <v>2000</v>
      </c>
      <c r="C74" s="216"/>
      <c r="D74" s="214"/>
      <c r="E74" s="216">
        <f t="shared" si="12"/>
        <v>2000</v>
      </c>
      <c r="F74" s="216"/>
      <c r="G74" s="216">
        <f t="shared" si="13"/>
        <v>0</v>
      </c>
      <c r="H74" s="141" t="str">
        <f t="shared" si="14"/>
        <v/>
      </c>
    </row>
    <row r="75" spans="1:8" s="20" customFormat="1" x14ac:dyDescent="0.25">
      <c r="A75" s="215" t="s">
        <v>80</v>
      </c>
      <c r="B75" s="216">
        <v>1500</v>
      </c>
      <c r="C75" s="216"/>
      <c r="D75" s="214"/>
      <c r="E75" s="216">
        <f t="shared" si="12"/>
        <v>1500</v>
      </c>
      <c r="F75" s="216"/>
      <c r="G75" s="216">
        <f t="shared" si="13"/>
        <v>0</v>
      </c>
      <c r="H75" s="141" t="str">
        <f t="shared" si="14"/>
        <v/>
      </c>
    </row>
    <row r="76" spans="1:8" s="20" customFormat="1" x14ac:dyDescent="0.25">
      <c r="A76" s="225"/>
      <c r="B76" s="214"/>
      <c r="C76" s="214"/>
      <c r="D76" s="214"/>
      <c r="E76" s="214">
        <f t="shared" si="12"/>
        <v>0</v>
      </c>
      <c r="F76" s="214"/>
      <c r="G76" s="214">
        <f t="shared" si="13"/>
        <v>0</v>
      </c>
      <c r="H76" s="235" t="str">
        <f t="shared" si="14"/>
        <v/>
      </c>
    </row>
    <row r="77" spans="1:8" s="20" customFormat="1" x14ac:dyDescent="0.25">
      <c r="A77" s="211" t="s">
        <v>20</v>
      </c>
      <c r="B77" s="212">
        <f>B78+B80</f>
        <v>467000</v>
      </c>
      <c r="C77" s="212"/>
      <c r="D77" s="212">
        <f>D80</f>
        <v>605</v>
      </c>
      <c r="E77" s="212">
        <f t="shared" si="12"/>
        <v>467605</v>
      </c>
      <c r="F77" s="212"/>
      <c r="G77" s="212">
        <f t="shared" si="13"/>
        <v>0</v>
      </c>
      <c r="H77" s="234" t="str">
        <f t="shared" si="14"/>
        <v/>
      </c>
    </row>
    <row r="78" spans="1:8" s="20" customFormat="1" x14ac:dyDescent="0.25">
      <c r="A78" s="218" t="s">
        <v>66</v>
      </c>
      <c r="B78" s="219">
        <f t="shared" ref="B78" si="15">B79</f>
        <v>400000</v>
      </c>
      <c r="C78" s="219"/>
      <c r="D78" s="212"/>
      <c r="E78" s="219">
        <f t="shared" si="12"/>
        <v>400000</v>
      </c>
      <c r="F78" s="219"/>
      <c r="G78" s="219">
        <f t="shared" si="13"/>
        <v>0</v>
      </c>
      <c r="H78" s="236" t="str">
        <f t="shared" si="14"/>
        <v/>
      </c>
    </row>
    <row r="79" spans="1:8" s="20" customFormat="1" x14ac:dyDescent="0.25">
      <c r="A79" s="215" t="s">
        <v>24</v>
      </c>
      <c r="B79" s="216">
        <v>400000</v>
      </c>
      <c r="C79" s="216"/>
      <c r="D79" s="212"/>
      <c r="E79" s="216">
        <f t="shared" si="12"/>
        <v>400000</v>
      </c>
      <c r="F79" s="216"/>
      <c r="G79" s="216">
        <f t="shared" si="13"/>
        <v>0</v>
      </c>
      <c r="H79" s="141" t="str">
        <f t="shared" si="14"/>
        <v/>
      </c>
    </row>
    <row r="80" spans="1:8" x14ac:dyDescent="0.25">
      <c r="A80" s="218" t="s">
        <v>41</v>
      </c>
      <c r="B80" s="219">
        <f>SUM(B81:B81)</f>
        <v>67000</v>
      </c>
      <c r="C80" s="219"/>
      <c r="D80" s="219">
        <f>D82</f>
        <v>605</v>
      </c>
      <c r="E80" s="219">
        <f t="shared" si="12"/>
        <v>67605</v>
      </c>
      <c r="F80" s="219"/>
      <c r="G80" s="219">
        <f t="shared" si="13"/>
        <v>0</v>
      </c>
      <c r="H80" s="236" t="str">
        <f t="shared" si="14"/>
        <v/>
      </c>
    </row>
    <row r="81" spans="1:9" x14ac:dyDescent="0.25">
      <c r="A81" s="215" t="s">
        <v>24</v>
      </c>
      <c r="B81" s="216">
        <v>67000</v>
      </c>
      <c r="C81" s="216"/>
      <c r="D81" s="219"/>
      <c r="E81" s="216">
        <f t="shared" si="12"/>
        <v>67000</v>
      </c>
      <c r="F81" s="216"/>
      <c r="G81" s="216">
        <f t="shared" si="13"/>
        <v>0</v>
      </c>
      <c r="H81" s="141" t="str">
        <f t="shared" si="14"/>
        <v/>
      </c>
    </row>
    <row r="82" spans="1:9" x14ac:dyDescent="0.25">
      <c r="A82" s="215" t="s">
        <v>80</v>
      </c>
      <c r="B82" s="216"/>
      <c r="C82" s="216"/>
      <c r="D82" s="216">
        <v>605</v>
      </c>
      <c r="E82" s="216">
        <f t="shared" si="12"/>
        <v>605</v>
      </c>
      <c r="F82" s="216"/>
      <c r="G82" s="216">
        <f t="shared" si="13"/>
        <v>0</v>
      </c>
      <c r="H82" s="141" t="str">
        <f t="shared" si="14"/>
        <v/>
      </c>
    </row>
    <row r="83" spans="1:9" x14ac:dyDescent="0.25">
      <c r="A83" s="215"/>
      <c r="B83" s="216"/>
      <c r="C83" s="216"/>
      <c r="D83" s="216"/>
      <c r="E83" s="216">
        <f t="shared" si="12"/>
        <v>0</v>
      </c>
      <c r="F83" s="216"/>
      <c r="G83" s="216">
        <f t="shared" si="13"/>
        <v>0</v>
      </c>
      <c r="H83" s="141" t="str">
        <f t="shared" si="14"/>
        <v/>
      </c>
      <c r="I83" s="26"/>
    </row>
    <row r="84" spans="1:9" ht="12.75" customHeight="1" x14ac:dyDescent="0.25">
      <c r="A84" s="231" t="s">
        <v>21</v>
      </c>
      <c r="B84" s="232">
        <f>B85</f>
        <v>8600000</v>
      </c>
      <c r="C84" s="232"/>
      <c r="D84" s="232">
        <f>D85</f>
        <v>1357463</v>
      </c>
      <c r="E84" s="232">
        <f t="shared" si="12"/>
        <v>9957463</v>
      </c>
      <c r="F84" s="232"/>
      <c r="G84" s="232">
        <f t="shared" si="13"/>
        <v>0</v>
      </c>
      <c r="H84" s="239" t="str">
        <f t="shared" si="14"/>
        <v/>
      </c>
    </row>
    <row r="85" spans="1:9" x14ac:dyDescent="0.25">
      <c r="A85" s="215" t="s">
        <v>179</v>
      </c>
      <c r="B85" s="216">
        <v>8600000</v>
      </c>
      <c r="C85" s="216"/>
      <c r="D85" s="216">
        <v>1357463</v>
      </c>
      <c r="E85" s="216">
        <f t="shared" si="12"/>
        <v>9957463</v>
      </c>
      <c r="F85" s="216"/>
      <c r="G85" s="216">
        <f t="shared" si="13"/>
        <v>0</v>
      </c>
      <c r="H85" s="141" t="str">
        <f t="shared" si="14"/>
        <v/>
      </c>
    </row>
    <row r="86" spans="1:9" x14ac:dyDescent="0.25">
      <c r="A86" s="220"/>
      <c r="B86" s="221"/>
      <c r="C86" s="221"/>
      <c r="D86" s="221"/>
      <c r="E86" s="221">
        <f t="shared" si="12"/>
        <v>0</v>
      </c>
      <c r="F86" s="221"/>
      <c r="G86" s="221">
        <f t="shared" si="13"/>
        <v>0</v>
      </c>
      <c r="H86" s="237" t="str">
        <f t="shared" si="14"/>
        <v/>
      </c>
    </row>
    <row r="87" spans="1:9" x14ac:dyDescent="0.25">
      <c r="A87" s="211" t="s">
        <v>12</v>
      </c>
      <c r="B87" s="212">
        <f>B6+B13+B23+B29+B35+B57+B62+B77+B84</f>
        <v>605229124</v>
      </c>
      <c r="C87" s="212">
        <f>C6+C13+C23+C29+C35+C57+C62+C77+C84</f>
        <v>5343000</v>
      </c>
      <c r="D87" s="212">
        <f>D6+D13+D35+D62+D77+D84</f>
        <v>16745492</v>
      </c>
      <c r="E87" s="212">
        <f t="shared" si="12"/>
        <v>627317616</v>
      </c>
      <c r="F87" s="212"/>
      <c r="G87" s="212">
        <f t="shared" si="13"/>
        <v>0</v>
      </c>
      <c r="H87" s="234" t="str">
        <f t="shared" si="14"/>
        <v/>
      </c>
    </row>
    <row r="88" spans="1:9" x14ac:dyDescent="0.25">
      <c r="A88" s="64"/>
      <c r="B88" s="233"/>
      <c r="C88" s="233"/>
      <c r="D88" s="62"/>
      <c r="E88" s="233"/>
      <c r="F88" s="233"/>
      <c r="G88" s="233">
        <f t="shared" si="13"/>
        <v>0</v>
      </c>
      <c r="H88" s="240" t="str">
        <f t="shared" si="14"/>
        <v/>
      </c>
    </row>
    <row r="89" spans="1:9" ht="12.75" customHeight="1" x14ac:dyDescent="0.25">
      <c r="A89" s="62"/>
      <c r="B89" s="19"/>
      <c r="C89" s="19"/>
      <c r="D89" s="62"/>
      <c r="E89" s="19"/>
      <c r="F89" s="19"/>
      <c r="G89" s="19">
        <f t="shared" si="13"/>
        <v>0</v>
      </c>
      <c r="H89" s="146" t="str">
        <f t="shared" si="14"/>
        <v/>
      </c>
    </row>
    <row r="90" spans="1:9" ht="12.75" customHeight="1" x14ac:dyDescent="0.25">
      <c r="A90" s="225" t="s">
        <v>289</v>
      </c>
      <c r="B90" s="19"/>
      <c r="C90" s="19"/>
      <c r="D90" s="19"/>
      <c r="E90" s="19"/>
      <c r="F90" s="19"/>
      <c r="G90" s="19">
        <f t="shared" si="13"/>
        <v>0</v>
      </c>
      <c r="H90" s="146" t="str">
        <f t="shared" si="14"/>
        <v/>
      </c>
    </row>
    <row r="91" spans="1:9" x14ac:dyDescent="0.25">
      <c r="A91" s="225" t="s">
        <v>73</v>
      </c>
      <c r="B91" s="19">
        <f t="shared" ref="B91:E91" si="16">B24</f>
        <v>2800</v>
      </c>
      <c r="C91" s="19">
        <f t="shared" si="16"/>
        <v>0</v>
      </c>
      <c r="D91" s="19">
        <f t="shared" si="16"/>
        <v>0</v>
      </c>
      <c r="E91" s="19">
        <f t="shared" si="16"/>
        <v>2800</v>
      </c>
      <c r="F91" s="19"/>
      <c r="G91" s="19">
        <f t="shared" si="13"/>
        <v>0</v>
      </c>
      <c r="H91" s="146" t="str">
        <f t="shared" si="14"/>
        <v/>
      </c>
    </row>
    <row r="92" spans="1:9" x14ac:dyDescent="0.25">
      <c r="A92" s="10" t="s">
        <v>179</v>
      </c>
      <c r="B92" s="19">
        <f t="shared" ref="B92:E92" si="17">B85+B15+B44</f>
        <v>13615000</v>
      </c>
      <c r="C92" s="19">
        <f t="shared" si="17"/>
        <v>0</v>
      </c>
      <c r="D92" s="19">
        <f t="shared" si="17"/>
        <v>1457463</v>
      </c>
      <c r="E92" s="19">
        <f t="shared" si="17"/>
        <v>15072463</v>
      </c>
      <c r="F92" s="19"/>
      <c r="G92" s="19">
        <f t="shared" si="13"/>
        <v>0</v>
      </c>
      <c r="H92" s="146" t="str">
        <f t="shared" si="14"/>
        <v/>
      </c>
    </row>
    <row r="93" spans="1:9" x14ac:dyDescent="0.25">
      <c r="A93" s="225" t="s">
        <v>74</v>
      </c>
      <c r="B93" s="19"/>
      <c r="C93" s="19"/>
      <c r="D93" s="19"/>
      <c r="E93" s="19"/>
      <c r="F93" s="19"/>
      <c r="G93" s="19">
        <f t="shared" si="13"/>
        <v>0</v>
      </c>
      <c r="H93" s="146" t="str">
        <f t="shared" si="14"/>
        <v/>
      </c>
    </row>
    <row r="94" spans="1:9" x14ac:dyDescent="0.25">
      <c r="A94" s="225" t="s">
        <v>47</v>
      </c>
      <c r="B94" s="19">
        <f t="shared" ref="B94:E94" si="18">B65+B51+B53</f>
        <v>0</v>
      </c>
      <c r="C94" s="19">
        <f t="shared" si="18"/>
        <v>0</v>
      </c>
      <c r="D94" s="19">
        <f t="shared" si="18"/>
        <v>31169</v>
      </c>
      <c r="E94" s="19">
        <f t="shared" si="18"/>
        <v>31169</v>
      </c>
      <c r="F94" s="19"/>
      <c r="G94" s="19">
        <f t="shared" si="13"/>
        <v>0</v>
      </c>
      <c r="H94" s="146" t="str">
        <f t="shared" si="14"/>
        <v/>
      </c>
    </row>
    <row r="95" spans="1:9" x14ac:dyDescent="0.25">
      <c r="A95" s="225" t="s">
        <v>176</v>
      </c>
      <c r="B95" s="19">
        <f t="shared" ref="B95:E95" si="19">B72+B70+B54+B40</f>
        <v>20000</v>
      </c>
      <c r="C95" s="19">
        <f t="shared" si="19"/>
        <v>0</v>
      </c>
      <c r="D95" s="19">
        <f t="shared" si="19"/>
        <v>6245</v>
      </c>
      <c r="E95" s="19">
        <f t="shared" si="19"/>
        <v>26245</v>
      </c>
      <c r="F95" s="19"/>
      <c r="G95" s="19">
        <f t="shared" si="13"/>
        <v>0</v>
      </c>
      <c r="H95" s="146" t="str">
        <f t="shared" si="14"/>
        <v/>
      </c>
    </row>
    <row r="96" spans="1:9" x14ac:dyDescent="0.25">
      <c r="A96" s="225" t="s">
        <v>77</v>
      </c>
      <c r="B96" s="19"/>
      <c r="C96" s="19"/>
      <c r="D96" s="19"/>
      <c r="E96" s="19"/>
      <c r="F96" s="19"/>
      <c r="G96" s="19">
        <f t="shared" si="13"/>
        <v>0</v>
      </c>
      <c r="H96" s="146" t="str">
        <f t="shared" si="14"/>
        <v/>
      </c>
    </row>
    <row r="97" spans="1:8" x14ac:dyDescent="0.25">
      <c r="A97" s="10" t="s">
        <v>187</v>
      </c>
      <c r="B97" s="19">
        <f t="shared" ref="B97:E97" si="20">B31+B33+B64+B67+B68+B55</f>
        <v>1272000</v>
      </c>
      <c r="C97" s="19">
        <f t="shared" si="20"/>
        <v>0</v>
      </c>
      <c r="D97" s="19">
        <f t="shared" si="20"/>
        <v>440000</v>
      </c>
      <c r="E97" s="19">
        <f t="shared" si="20"/>
        <v>1712000</v>
      </c>
      <c r="F97" s="19"/>
      <c r="G97" s="19">
        <f t="shared" si="13"/>
        <v>0</v>
      </c>
      <c r="H97" s="146" t="str">
        <f t="shared" si="14"/>
        <v/>
      </c>
    </row>
    <row r="98" spans="1:8" x14ac:dyDescent="0.25">
      <c r="A98" s="10" t="s">
        <v>189</v>
      </c>
      <c r="B98" s="19">
        <f t="shared" ref="B98:E98" si="21">B18+B21+B25+B38</f>
        <v>6986224</v>
      </c>
      <c r="C98" s="19">
        <f t="shared" si="21"/>
        <v>0</v>
      </c>
      <c r="D98" s="19">
        <f t="shared" si="21"/>
        <v>1000000</v>
      </c>
      <c r="E98" s="19">
        <f t="shared" si="21"/>
        <v>7986224</v>
      </c>
      <c r="F98" s="19"/>
      <c r="G98" s="19">
        <f t="shared" si="13"/>
        <v>0</v>
      </c>
      <c r="H98" s="146" t="str">
        <f t="shared" si="14"/>
        <v/>
      </c>
    </row>
    <row r="99" spans="1:8" x14ac:dyDescent="0.25">
      <c r="A99" s="10" t="s">
        <v>190</v>
      </c>
      <c r="B99" s="19">
        <f t="shared" ref="B99:E99" si="22">B46+B73</f>
        <v>30600</v>
      </c>
      <c r="C99" s="19">
        <f t="shared" si="22"/>
        <v>0</v>
      </c>
      <c r="D99" s="19">
        <f t="shared" si="22"/>
        <v>300000</v>
      </c>
      <c r="E99" s="19">
        <f t="shared" si="22"/>
        <v>330600</v>
      </c>
      <c r="F99" s="19"/>
      <c r="G99" s="19">
        <f t="shared" si="13"/>
        <v>0</v>
      </c>
      <c r="H99" s="146" t="str">
        <f t="shared" si="14"/>
        <v/>
      </c>
    </row>
    <row r="100" spans="1:8" x14ac:dyDescent="0.25">
      <c r="A100" s="225" t="s">
        <v>191</v>
      </c>
      <c r="B100" s="19">
        <f t="shared" ref="B100:E100" si="23">B27+B45</f>
        <v>455000</v>
      </c>
      <c r="C100" s="19">
        <f t="shared" si="23"/>
        <v>0</v>
      </c>
      <c r="D100" s="19">
        <f t="shared" si="23"/>
        <v>0</v>
      </c>
      <c r="E100" s="19">
        <f t="shared" si="23"/>
        <v>455000</v>
      </c>
      <c r="F100" s="19"/>
      <c r="G100" s="19">
        <f t="shared" si="13"/>
        <v>0</v>
      </c>
      <c r="H100" s="146" t="str">
        <f t="shared" si="14"/>
        <v/>
      </c>
    </row>
    <row r="101" spans="1:8" x14ac:dyDescent="0.25">
      <c r="A101" s="225" t="s">
        <v>192</v>
      </c>
      <c r="B101" s="19">
        <f t="shared" ref="B101:E101" si="24">B39+B26</f>
        <v>680000</v>
      </c>
      <c r="C101" s="19">
        <f t="shared" si="24"/>
        <v>0</v>
      </c>
      <c r="D101" s="19">
        <f t="shared" si="24"/>
        <v>0</v>
      </c>
      <c r="E101" s="19">
        <f t="shared" si="24"/>
        <v>680000</v>
      </c>
      <c r="F101" s="19"/>
      <c r="G101" s="19">
        <f t="shared" si="13"/>
        <v>0</v>
      </c>
      <c r="H101" s="146" t="str">
        <f t="shared" si="14"/>
        <v/>
      </c>
    </row>
    <row r="102" spans="1:8" x14ac:dyDescent="0.25">
      <c r="A102" s="225" t="s">
        <v>78</v>
      </c>
      <c r="B102" s="19"/>
      <c r="C102" s="19"/>
      <c r="D102" s="19"/>
      <c r="E102" s="19"/>
      <c r="F102" s="19"/>
      <c r="G102" s="19">
        <f t="shared" si="13"/>
        <v>0</v>
      </c>
      <c r="H102" s="146" t="str">
        <f t="shared" si="14"/>
        <v/>
      </c>
    </row>
    <row r="103" spans="1:8" x14ac:dyDescent="0.25">
      <c r="A103" s="225" t="s">
        <v>103</v>
      </c>
      <c r="B103" s="19">
        <f t="shared" ref="B103:E103" si="25">B74</f>
        <v>2000</v>
      </c>
      <c r="C103" s="19">
        <f t="shared" si="25"/>
        <v>0</v>
      </c>
      <c r="D103" s="19">
        <f t="shared" si="25"/>
        <v>0</v>
      </c>
      <c r="E103" s="19">
        <f t="shared" si="25"/>
        <v>2000</v>
      </c>
      <c r="F103" s="19"/>
      <c r="G103" s="19">
        <f t="shared" si="13"/>
        <v>0</v>
      </c>
      <c r="H103" s="146" t="str">
        <f t="shared" si="14"/>
        <v/>
      </c>
    </row>
    <row r="104" spans="1:8" x14ac:dyDescent="0.25">
      <c r="A104" s="225" t="s">
        <v>79</v>
      </c>
      <c r="B104" s="19">
        <f t="shared" ref="B104:E104" si="26">B66</f>
        <v>0</v>
      </c>
      <c r="C104" s="19">
        <f t="shared" si="26"/>
        <v>0</v>
      </c>
      <c r="D104" s="19">
        <f t="shared" si="26"/>
        <v>4000</v>
      </c>
      <c r="E104" s="19">
        <f t="shared" si="26"/>
        <v>4000</v>
      </c>
      <c r="F104" s="19"/>
      <c r="G104" s="19">
        <f t="shared" si="13"/>
        <v>0</v>
      </c>
      <c r="H104" s="146" t="str">
        <f t="shared" si="14"/>
        <v/>
      </c>
    </row>
    <row r="105" spans="1:8" x14ac:dyDescent="0.25">
      <c r="A105" s="225" t="s">
        <v>80</v>
      </c>
      <c r="B105" s="19">
        <f t="shared" ref="B105:E105" si="27">B75+B82</f>
        <v>1500</v>
      </c>
      <c r="C105" s="19">
        <f t="shared" si="27"/>
        <v>0</v>
      </c>
      <c r="D105" s="19">
        <f t="shared" si="27"/>
        <v>605</v>
      </c>
      <c r="E105" s="19">
        <f t="shared" si="27"/>
        <v>2105</v>
      </c>
      <c r="F105" s="19"/>
      <c r="G105" s="19">
        <f t="shared" si="13"/>
        <v>0</v>
      </c>
      <c r="H105" s="146" t="str">
        <f t="shared" si="14"/>
        <v/>
      </c>
    </row>
    <row r="106" spans="1:8" x14ac:dyDescent="0.25">
      <c r="A106" s="225" t="s">
        <v>81</v>
      </c>
      <c r="B106" s="19">
        <f t="shared" ref="B106:E106" si="28">B49</f>
        <v>0</v>
      </c>
      <c r="C106" s="19">
        <f t="shared" si="28"/>
        <v>0</v>
      </c>
      <c r="D106" s="19">
        <f t="shared" si="28"/>
        <v>6010</v>
      </c>
      <c r="E106" s="19">
        <f t="shared" si="28"/>
        <v>6010</v>
      </c>
      <c r="F106" s="19"/>
      <c r="G106" s="19">
        <f t="shared" si="13"/>
        <v>0</v>
      </c>
      <c r="H106" s="146" t="str">
        <f t="shared" si="14"/>
        <v/>
      </c>
    </row>
    <row r="107" spans="1:8" x14ac:dyDescent="0.25">
      <c r="A107" s="225" t="s">
        <v>82</v>
      </c>
      <c r="B107" s="19"/>
      <c r="C107" s="19"/>
      <c r="D107" s="19"/>
      <c r="E107" s="19"/>
      <c r="F107" s="19"/>
      <c r="G107" s="19">
        <f t="shared" si="13"/>
        <v>0</v>
      </c>
      <c r="H107" s="146" t="str">
        <f t="shared" si="14"/>
        <v/>
      </c>
    </row>
    <row r="108" spans="1:8" x14ac:dyDescent="0.25">
      <c r="A108" s="225" t="s">
        <v>83</v>
      </c>
      <c r="B108" s="19"/>
      <c r="C108" s="19"/>
      <c r="D108" s="19"/>
      <c r="E108" s="19"/>
      <c r="F108" s="19"/>
      <c r="G108" s="19">
        <f t="shared" si="13"/>
        <v>0</v>
      </c>
      <c r="H108" s="146" t="str">
        <f t="shared" si="14"/>
        <v/>
      </c>
    </row>
    <row r="109" spans="1:8" x14ac:dyDescent="0.25">
      <c r="A109" s="225" t="s">
        <v>84</v>
      </c>
      <c r="B109" s="19"/>
      <c r="C109" s="19"/>
      <c r="D109" s="19"/>
      <c r="E109" s="19"/>
      <c r="F109" s="19"/>
      <c r="G109" s="19">
        <f t="shared" si="13"/>
        <v>0</v>
      </c>
      <c r="H109" s="146" t="str">
        <f t="shared" si="14"/>
        <v/>
      </c>
    </row>
    <row r="110" spans="1:8" x14ac:dyDescent="0.25">
      <c r="A110" s="224" t="s">
        <v>193</v>
      </c>
      <c r="B110" s="14">
        <f t="shared" ref="B110" si="29">SUM(B90:B109)</f>
        <v>23065124</v>
      </c>
      <c r="C110" s="14">
        <f t="shared" ref="C110:E110" si="30">SUM(C90:C109)</f>
        <v>0</v>
      </c>
      <c r="D110" s="14">
        <f t="shared" si="30"/>
        <v>3245492</v>
      </c>
      <c r="E110" s="14">
        <f t="shared" si="30"/>
        <v>26310616</v>
      </c>
      <c r="F110" s="14"/>
      <c r="G110" s="14">
        <f t="shared" si="13"/>
        <v>0</v>
      </c>
      <c r="H110" s="241" t="str">
        <f t="shared" si="14"/>
        <v/>
      </c>
    </row>
    <row r="111" spans="1:8" x14ac:dyDescent="0.25">
      <c r="A111" s="225" t="s">
        <v>24</v>
      </c>
      <c r="B111" s="19">
        <f t="shared" ref="B111:E111" si="31">B8+B11+B58+B60+B78+B81</f>
        <v>582164000</v>
      </c>
      <c r="C111" s="19">
        <f t="shared" si="31"/>
        <v>5343000</v>
      </c>
      <c r="D111" s="19">
        <f t="shared" si="31"/>
        <v>13500000</v>
      </c>
      <c r="E111" s="19">
        <f t="shared" si="31"/>
        <v>601007000</v>
      </c>
      <c r="F111" s="19"/>
      <c r="G111" s="19">
        <f t="shared" si="13"/>
        <v>0</v>
      </c>
      <c r="H111" s="146" t="str">
        <f t="shared" si="14"/>
        <v/>
      </c>
    </row>
    <row r="112" spans="1:8" x14ac:dyDescent="0.25">
      <c r="A112" s="224" t="s">
        <v>12</v>
      </c>
      <c r="B112" s="14">
        <f t="shared" ref="B112:E112" si="32">B110+B111</f>
        <v>605229124</v>
      </c>
      <c r="C112" s="14">
        <f t="shared" si="32"/>
        <v>5343000</v>
      </c>
      <c r="D112" s="14">
        <f t="shared" si="32"/>
        <v>16745492</v>
      </c>
      <c r="E112" s="14">
        <f t="shared" si="32"/>
        <v>627317616</v>
      </c>
      <c r="F112" s="14"/>
      <c r="G112" s="14">
        <f t="shared" si="13"/>
        <v>0</v>
      </c>
      <c r="H112" s="241" t="str">
        <f t="shared" si="14"/>
        <v/>
      </c>
    </row>
  </sheetData>
  <mergeCells count="6">
    <mergeCell ref="B3:B4"/>
    <mergeCell ref="C3:C4"/>
    <mergeCell ref="E3:E4"/>
    <mergeCell ref="F3:F4"/>
    <mergeCell ref="G3:I3"/>
    <mergeCell ref="D3:D4"/>
  </mergeCells>
  <phoneticPr fontId="36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L61"/>
  <sheetViews>
    <sheetView workbookViewId="0">
      <selection activeCell="E29" sqref="E29"/>
    </sheetView>
  </sheetViews>
  <sheetFormatPr defaultColWidth="9.33203125" defaultRowHeight="13.2" x14ac:dyDescent="0.25"/>
  <cols>
    <col min="1" max="1" width="40" style="10" bestFit="1" customWidth="1"/>
    <col min="2" max="2" width="11.5546875" style="10" bestFit="1" customWidth="1"/>
    <col min="3" max="4" width="10.33203125" style="10" bestFit="1" customWidth="1"/>
    <col min="5" max="5" width="11.33203125" style="10" bestFit="1" customWidth="1"/>
    <col min="6" max="6" width="9.5546875" style="10" bestFit="1" customWidth="1"/>
    <col min="7" max="8" width="11.33203125" style="10" bestFit="1" customWidth="1"/>
    <col min="9" max="9" width="10.33203125" style="10" bestFit="1" customWidth="1"/>
    <col min="10" max="16384" width="9.33203125" style="10"/>
  </cols>
  <sheetData>
    <row r="1" spans="1:12" x14ac:dyDescent="0.25">
      <c r="A1" s="5" t="s">
        <v>10</v>
      </c>
      <c r="B1" s="8">
        <f ca="1">SUM(B2:B11)</f>
        <v>1363700</v>
      </c>
      <c r="C1" s="8">
        <f t="shared" ref="C1:L1" ca="1" si="0">SUM(C2:C11)</f>
        <v>0</v>
      </c>
      <c r="D1" s="8">
        <f t="shared" ca="1" si="0"/>
        <v>1363700</v>
      </c>
      <c r="E1" s="8">
        <f t="shared" ca="1" si="0"/>
        <v>1363700</v>
      </c>
      <c r="F1" s="8">
        <f t="shared" ca="1" si="0"/>
        <v>0</v>
      </c>
      <c r="G1" s="8">
        <f t="shared" ca="1" si="0"/>
        <v>0</v>
      </c>
      <c r="H1" s="8">
        <f t="shared" ca="1" si="0"/>
        <v>0</v>
      </c>
      <c r="I1" s="8" t="e">
        <f t="shared" si="0"/>
        <v>#REF!</v>
      </c>
      <c r="J1" s="8" t="e">
        <f t="shared" si="0"/>
        <v>#REF!</v>
      </c>
      <c r="K1" s="8" t="e">
        <f t="shared" si="0"/>
        <v>#REF!</v>
      </c>
      <c r="L1" s="8" t="e">
        <f t="shared" si="0"/>
        <v>#REF!</v>
      </c>
    </row>
    <row r="2" spans="1:12" x14ac:dyDescent="0.25">
      <c r="A2" s="6" t="s">
        <v>54</v>
      </c>
      <c r="B2" s="8">
        <f ca="1">SUMIF('Omatulud (3)'!$A$6:B$13,$A2,'Omatulud (3)'!B$6:B$13)</f>
        <v>0</v>
      </c>
      <c r="C2" s="8">
        <f ca="1">SUMIF('Omatulud (3)'!$A$6:C$13,$A2,'Omatulud (3)'!C$6:C$13)</f>
        <v>0</v>
      </c>
      <c r="D2" s="8">
        <f ca="1">SUMIF('Omatulud (3)'!$A$6:E$13,$A2,'Omatulud (3)'!E$6:E$13)</f>
        <v>0</v>
      </c>
      <c r="E2" s="8">
        <f ca="1">SUMIF('Omatulud (3)'!$A$6:F$13,$A2,'Omatulud (3)'!F$6:F$13)</f>
        <v>0</v>
      </c>
      <c r="F2" s="8">
        <f ca="1">SUMIF('Omatulud (3)'!$A$6:G$13,$A2,'Omatulud (3)'!G$6:G$13)</f>
        <v>0</v>
      </c>
      <c r="G2" s="8">
        <f ca="1">SUMIF('Omatulud (3)'!$A$6:H$13,$A2,'Omatulud (3)'!H$6:H$13)</f>
        <v>0</v>
      </c>
      <c r="H2" s="8">
        <f ca="1">SUMIF('Omatulud (3)'!$A$6:I$13,$A2,'Omatulud (3)'!I$6:I$13)</f>
        <v>0</v>
      </c>
      <c r="I2" s="8" t="e">
        <f>SUMIF('Omatulud (3)'!$A$6:I$13,$A2,'Omatulud (3)'!#REF!)</f>
        <v>#REF!</v>
      </c>
      <c r="J2" s="8" t="e">
        <f>SUMIF('Omatulud (3)'!$A$6:I$13,$A2,'Omatulud (3)'!#REF!)</f>
        <v>#REF!</v>
      </c>
      <c r="K2" s="8" t="e">
        <f>SUMIF('Omatulud (3)'!$A$6:I$13,$A2,'Omatulud (3)'!#REF!)</f>
        <v>#REF!</v>
      </c>
      <c r="L2" s="8" t="e">
        <f>SUMIF('Omatulud (3)'!$A$6:I$13,$A2,'Omatulud (3)'!#REF!)</f>
        <v>#REF!</v>
      </c>
    </row>
    <row r="3" spans="1:12" x14ac:dyDescent="0.25">
      <c r="A3" s="6" t="s">
        <v>59</v>
      </c>
      <c r="B3" s="8">
        <f ca="1">SUMIF('Omatulud (3)'!$A$6:B$13,$A3,'Omatulud (3)'!B$6:B$13)</f>
        <v>0</v>
      </c>
      <c r="C3" s="8">
        <f ca="1">SUMIF('Omatulud (3)'!$A$6:C$13,$A3,'Omatulud (3)'!C$6:C$13)</f>
        <v>0</v>
      </c>
      <c r="D3" s="8">
        <f ca="1">SUMIF('Omatulud (3)'!$A$6:E$13,$A3,'Omatulud (3)'!E$6:E$13)</f>
        <v>0</v>
      </c>
      <c r="E3" s="8">
        <f ca="1">SUMIF('Omatulud (3)'!$A$6:F$13,$A3,'Omatulud (3)'!F$6:F$13)</f>
        <v>0</v>
      </c>
      <c r="F3" s="8">
        <f ca="1">SUMIF('Omatulud (3)'!$A$6:G$13,$A3,'Omatulud (3)'!G$6:G$13)</f>
        <v>0</v>
      </c>
      <c r="G3" s="8">
        <f ca="1">SUMIF('Omatulud (3)'!$A$6:H$13,$A3,'Omatulud (3)'!H$6:H$13)</f>
        <v>0</v>
      </c>
      <c r="H3" s="8">
        <f ca="1">SUMIF('Omatulud (3)'!$A$6:I$13,$A3,'Omatulud (3)'!I$6:I$13)</f>
        <v>0</v>
      </c>
      <c r="I3" s="8" t="e">
        <f>SUMIF('Omatulud (3)'!$A$6:I$13,$A3,'Omatulud (3)'!#REF!)</f>
        <v>#REF!</v>
      </c>
      <c r="J3" s="8" t="e">
        <f>SUMIF('Omatulud (3)'!$A$6:I$13,$A3,'Omatulud (3)'!#REF!)</f>
        <v>#REF!</v>
      </c>
      <c r="K3" s="8" t="e">
        <f>SUMIF('Omatulud (3)'!$A$6:I$13,$A3,'Omatulud (3)'!#REF!)</f>
        <v>#REF!</v>
      </c>
      <c r="L3" s="8" t="e">
        <f>SUMIF('Omatulud (3)'!$A$6:I$13,$A3,'Omatulud (3)'!#REF!)</f>
        <v>#REF!</v>
      </c>
    </row>
    <row r="4" spans="1:12" x14ac:dyDescent="0.25">
      <c r="A4" s="6" t="s">
        <v>55</v>
      </c>
      <c r="B4" s="8">
        <f ca="1">SUMIF('Omatulud (3)'!$A$6:B$13,$A4,'Omatulud (3)'!B$6:B$13)</f>
        <v>0</v>
      </c>
      <c r="C4" s="8">
        <f ca="1">SUMIF('Omatulud (3)'!$A$6:C$13,$A4,'Omatulud (3)'!C$6:C$13)</f>
        <v>0</v>
      </c>
      <c r="D4" s="8">
        <f ca="1">SUMIF('Omatulud (3)'!$A$6:E$13,$A4,'Omatulud (3)'!E$6:E$13)</f>
        <v>0</v>
      </c>
      <c r="E4" s="8">
        <f ca="1">SUMIF('Omatulud (3)'!$A$6:F$13,$A4,'Omatulud (3)'!F$6:F$13)</f>
        <v>0</v>
      </c>
      <c r="F4" s="8">
        <f ca="1">SUMIF('Omatulud (3)'!$A$6:G$13,$A4,'Omatulud (3)'!G$6:G$13)</f>
        <v>0</v>
      </c>
      <c r="G4" s="8">
        <f ca="1">SUMIF('Omatulud (3)'!$A$6:H$13,$A4,'Omatulud (3)'!H$6:H$13)</f>
        <v>0</v>
      </c>
      <c r="H4" s="8">
        <f ca="1">SUMIF('Omatulud (3)'!$A$6:I$13,$A4,'Omatulud (3)'!I$6:I$13)</f>
        <v>0</v>
      </c>
      <c r="I4" s="8" t="e">
        <f>SUMIF('Omatulud (3)'!$A$6:I$13,$A4,'Omatulud (3)'!#REF!)</f>
        <v>#REF!</v>
      </c>
      <c r="J4" s="8" t="e">
        <f>SUMIF('Omatulud (3)'!$A$6:I$13,$A4,'Omatulud (3)'!#REF!)</f>
        <v>#REF!</v>
      </c>
      <c r="K4" s="8" t="e">
        <f>SUMIF('Omatulud (3)'!$A$6:I$13,$A4,'Omatulud (3)'!#REF!)</f>
        <v>#REF!</v>
      </c>
      <c r="L4" s="8" t="e">
        <f>SUMIF('Omatulud (3)'!$A$6:I$13,$A4,'Omatulud (3)'!#REF!)</f>
        <v>#REF!</v>
      </c>
    </row>
    <row r="5" spans="1:12" x14ac:dyDescent="0.25">
      <c r="A5" s="6" t="s">
        <v>64</v>
      </c>
      <c r="B5" s="8">
        <f ca="1">SUMIF('Omatulud (3)'!$A$6:B$13,$A5,'Omatulud (3)'!B$6:B$13)</f>
        <v>0</v>
      </c>
      <c r="C5" s="8">
        <f ca="1">SUMIF('Omatulud (3)'!$A$6:C$13,$A5,'Omatulud (3)'!C$6:C$13)</f>
        <v>0</v>
      </c>
      <c r="D5" s="8">
        <f ca="1">SUMIF('Omatulud (3)'!$A$6:E$13,$A5,'Omatulud (3)'!E$6:E$13)</f>
        <v>0</v>
      </c>
      <c r="E5" s="8">
        <f ca="1">SUMIF('Omatulud (3)'!$A$6:F$13,$A5,'Omatulud (3)'!F$6:F$13)</f>
        <v>0</v>
      </c>
      <c r="F5" s="8">
        <f ca="1">SUMIF('Omatulud (3)'!$A$6:G$13,$A5,'Omatulud (3)'!G$6:G$13)</f>
        <v>0</v>
      </c>
      <c r="G5" s="8">
        <f ca="1">SUMIF('Omatulud (3)'!$A$6:H$13,$A5,'Omatulud (3)'!H$6:H$13)</f>
        <v>0</v>
      </c>
      <c r="H5" s="8">
        <f ca="1">SUMIF('Omatulud (3)'!$A$6:I$13,$A5,'Omatulud (3)'!I$6:I$13)</f>
        <v>0</v>
      </c>
      <c r="I5" s="8" t="e">
        <f>SUMIF('Omatulud (3)'!$A$6:I$13,$A5,'Omatulud (3)'!#REF!)</f>
        <v>#REF!</v>
      </c>
      <c r="J5" s="8" t="e">
        <f>SUMIF('Omatulud (3)'!$A$6:I$13,$A5,'Omatulud (3)'!#REF!)</f>
        <v>#REF!</v>
      </c>
      <c r="K5" s="8" t="e">
        <f>SUMIF('Omatulud (3)'!$A$6:I$13,$A5,'Omatulud (3)'!#REF!)</f>
        <v>#REF!</v>
      </c>
      <c r="L5" s="8" t="e">
        <f>SUMIF('Omatulud (3)'!$A$6:I$13,$A5,'Omatulud (3)'!#REF!)</f>
        <v>#REF!</v>
      </c>
    </row>
    <row r="6" spans="1:12" x14ac:dyDescent="0.25">
      <c r="A6" s="6" t="s">
        <v>60</v>
      </c>
      <c r="B6" s="8">
        <f ca="1">SUMIF('Omatulud (3)'!$A$6:B$13,$A6,'Omatulud (3)'!B$6:B$13)</f>
        <v>0</v>
      </c>
      <c r="C6" s="8">
        <f ca="1">SUMIF('Omatulud (3)'!$A$6:C$13,$A6,'Omatulud (3)'!C$6:C$13)</f>
        <v>0</v>
      </c>
      <c r="D6" s="8">
        <f ca="1">SUMIF('Omatulud (3)'!$A$6:E$13,$A6,'Omatulud (3)'!E$6:E$13)</f>
        <v>0</v>
      </c>
      <c r="E6" s="8">
        <f ca="1">SUMIF('Omatulud (3)'!$A$6:F$13,$A6,'Omatulud (3)'!F$6:F$13)</f>
        <v>0</v>
      </c>
      <c r="F6" s="8">
        <f ca="1">SUMIF('Omatulud (3)'!$A$6:G$13,$A6,'Omatulud (3)'!G$6:G$13)</f>
        <v>0</v>
      </c>
      <c r="G6" s="8">
        <f ca="1">SUMIF('Omatulud (3)'!$A$6:H$13,$A6,'Omatulud (3)'!H$6:H$13)</f>
        <v>0</v>
      </c>
      <c r="H6" s="8">
        <f ca="1">SUMIF('Omatulud (3)'!$A$6:I$13,$A6,'Omatulud (3)'!I$6:I$13)</f>
        <v>0</v>
      </c>
      <c r="I6" s="8" t="e">
        <f>SUMIF('Omatulud (3)'!$A$6:I$13,$A6,'Omatulud (3)'!#REF!)</f>
        <v>#REF!</v>
      </c>
      <c r="J6" s="8" t="e">
        <f>SUMIF('Omatulud (3)'!$A$6:I$13,$A6,'Omatulud (3)'!#REF!)</f>
        <v>#REF!</v>
      </c>
      <c r="K6" s="8" t="e">
        <f>SUMIF('Omatulud (3)'!$A$6:I$13,$A6,'Omatulud (3)'!#REF!)</f>
        <v>#REF!</v>
      </c>
      <c r="L6" s="8" t="e">
        <f>SUMIF('Omatulud (3)'!$A$6:I$13,$A6,'Omatulud (3)'!#REF!)</f>
        <v>#REF!</v>
      </c>
    </row>
    <row r="7" spans="1:12" x14ac:dyDescent="0.25">
      <c r="A7" s="6" t="s">
        <v>61</v>
      </c>
      <c r="B7" s="8">
        <f ca="1">SUMIF('Omatulud (3)'!$A$6:B$13,$A7,'Omatulud (3)'!B$6:B$13)</f>
        <v>0</v>
      </c>
      <c r="C7" s="8">
        <f ca="1">SUMIF('Omatulud (3)'!$A$6:C$13,$A7,'Omatulud (3)'!C$6:C$13)</f>
        <v>0</v>
      </c>
      <c r="D7" s="8">
        <f ca="1">SUMIF('Omatulud (3)'!$A$6:E$13,$A7,'Omatulud (3)'!E$6:E$13)</f>
        <v>0</v>
      </c>
      <c r="E7" s="8">
        <f ca="1">SUMIF('Omatulud (3)'!$A$6:F$13,$A7,'Omatulud (3)'!F$6:F$13)</f>
        <v>0</v>
      </c>
      <c r="F7" s="8">
        <f ca="1">SUMIF('Omatulud (3)'!$A$6:G$13,$A7,'Omatulud (3)'!G$6:G$13)</f>
        <v>0</v>
      </c>
      <c r="G7" s="8">
        <f ca="1">SUMIF('Omatulud (3)'!$A$6:H$13,$A7,'Omatulud (3)'!H$6:H$13)</f>
        <v>0</v>
      </c>
      <c r="H7" s="8">
        <f ca="1">SUMIF('Omatulud (3)'!$A$6:I$13,$A7,'Omatulud (3)'!I$6:I$13)</f>
        <v>0</v>
      </c>
      <c r="I7" s="8" t="e">
        <f>SUMIF('Omatulud (3)'!$A$6:I$13,$A7,'Omatulud (3)'!#REF!)</f>
        <v>#REF!</v>
      </c>
      <c r="J7" s="8" t="e">
        <f>SUMIF('Omatulud (3)'!$A$6:I$13,$A7,'Omatulud (3)'!#REF!)</f>
        <v>#REF!</v>
      </c>
      <c r="K7" s="8" t="e">
        <f>SUMIF('Omatulud (3)'!$A$6:I$13,$A7,'Omatulud (3)'!#REF!)</f>
        <v>#REF!</v>
      </c>
      <c r="L7" s="8" t="e">
        <f>SUMIF('Omatulud (3)'!$A$6:I$13,$A7,'Omatulud (3)'!#REF!)</f>
        <v>#REF!</v>
      </c>
    </row>
    <row r="8" spans="1:12" x14ac:dyDescent="0.25">
      <c r="A8" s="6" t="s">
        <v>56</v>
      </c>
      <c r="B8" s="8">
        <f ca="1">SUMIF('Omatulud (3)'!$A$6:B$13,$A8,'Omatulud (3)'!B$6:B$13)</f>
        <v>0</v>
      </c>
      <c r="C8" s="8">
        <f ca="1">SUMIF('Omatulud (3)'!$A$6:C$13,$A8,'Omatulud (3)'!C$6:C$13)</f>
        <v>0</v>
      </c>
      <c r="D8" s="8">
        <f ca="1">SUMIF('Omatulud (3)'!$A$6:E$13,$A8,'Omatulud (3)'!E$6:E$13)</f>
        <v>0</v>
      </c>
      <c r="E8" s="8">
        <f ca="1">SUMIF('Omatulud (3)'!$A$6:F$13,$A8,'Omatulud (3)'!F$6:F$13)</f>
        <v>0</v>
      </c>
      <c r="F8" s="8">
        <f ca="1">SUMIF('Omatulud (3)'!$A$6:G$13,$A8,'Omatulud (3)'!G$6:G$13)</f>
        <v>0</v>
      </c>
      <c r="G8" s="8">
        <f ca="1">SUMIF('Omatulud (3)'!$A$6:H$13,$A8,'Omatulud (3)'!H$6:H$13)</f>
        <v>0</v>
      </c>
      <c r="H8" s="8">
        <f ca="1">SUMIF('Omatulud (3)'!$A$6:I$13,$A8,'Omatulud (3)'!I$6:I$13)</f>
        <v>0</v>
      </c>
      <c r="I8" s="8" t="e">
        <f>SUMIF('Omatulud (3)'!$A$6:I$13,$A8,'Omatulud (3)'!#REF!)</f>
        <v>#REF!</v>
      </c>
      <c r="J8" s="8" t="e">
        <f>SUMIF('Omatulud (3)'!$A$6:I$13,$A8,'Omatulud (3)'!#REF!)</f>
        <v>#REF!</v>
      </c>
      <c r="K8" s="8" t="e">
        <f>SUMIF('Omatulud (3)'!$A$6:I$13,$A8,'Omatulud (3)'!#REF!)</f>
        <v>#REF!</v>
      </c>
      <c r="L8" s="8" t="e">
        <f>SUMIF('Omatulud (3)'!$A$6:I$13,$A8,'Omatulud (3)'!#REF!)</f>
        <v>#REF!</v>
      </c>
    </row>
    <row r="9" spans="1:12" x14ac:dyDescent="0.25">
      <c r="A9" s="6" t="s">
        <v>62</v>
      </c>
      <c r="B9" s="8">
        <f ca="1">SUMIF('Omatulud (3)'!$A$6:B$13,$A9,'Omatulud (3)'!B$6:B$13)</f>
        <v>0</v>
      </c>
      <c r="C9" s="8">
        <f ca="1">SUMIF('Omatulud (3)'!$A$6:C$13,$A9,'Omatulud (3)'!C$6:C$13)</f>
        <v>0</v>
      </c>
      <c r="D9" s="8">
        <f ca="1">SUMIF('Omatulud (3)'!$A$6:E$13,$A9,'Omatulud (3)'!E$6:E$13)</f>
        <v>0</v>
      </c>
      <c r="E9" s="8">
        <f ca="1">SUMIF('Omatulud (3)'!$A$6:F$13,$A9,'Omatulud (3)'!F$6:F$13)</f>
        <v>0</v>
      </c>
      <c r="F9" s="8">
        <f ca="1">SUMIF('Omatulud (3)'!$A$6:G$13,$A9,'Omatulud (3)'!G$6:G$13)</f>
        <v>0</v>
      </c>
      <c r="G9" s="8">
        <f ca="1">SUMIF('Omatulud (3)'!$A$6:H$13,$A9,'Omatulud (3)'!H$6:H$13)</f>
        <v>0</v>
      </c>
      <c r="H9" s="8">
        <f ca="1">SUMIF('Omatulud (3)'!$A$6:I$13,$A9,'Omatulud (3)'!I$6:I$13)</f>
        <v>0</v>
      </c>
      <c r="I9" s="8" t="e">
        <f>SUMIF('Omatulud (3)'!$A$6:I$13,$A9,'Omatulud (3)'!#REF!)</f>
        <v>#REF!</v>
      </c>
      <c r="J9" s="8" t="e">
        <f>SUMIF('Omatulud (3)'!$A$6:I$13,$A9,'Omatulud (3)'!#REF!)</f>
        <v>#REF!</v>
      </c>
      <c r="K9" s="8" t="e">
        <f>SUMIF('Omatulud (3)'!$A$6:I$13,$A9,'Omatulud (3)'!#REF!)</f>
        <v>#REF!</v>
      </c>
      <c r="L9" s="8" t="e">
        <f>SUMIF('Omatulud (3)'!$A$6:I$13,$A9,'Omatulud (3)'!#REF!)</f>
        <v>#REF!</v>
      </c>
    </row>
    <row r="10" spans="1:12" x14ac:dyDescent="0.25">
      <c r="A10" s="6" t="s">
        <v>53</v>
      </c>
      <c r="B10" s="8">
        <f ca="1">SUMIF('Omatulud (3)'!$A$6:B$13,$A10,'Omatulud (3)'!B$6:B$13)</f>
        <v>0</v>
      </c>
      <c r="C10" s="8">
        <f ca="1">SUMIF('Omatulud (3)'!$A$6:C$13,$A10,'Omatulud (3)'!C$6:C$13)</f>
        <v>0</v>
      </c>
      <c r="D10" s="8">
        <f ca="1">SUMIF('Omatulud (3)'!$A$6:E$13,$A10,'Omatulud (3)'!E$6:E$13)</f>
        <v>0</v>
      </c>
      <c r="E10" s="8">
        <f ca="1">SUMIF('Omatulud (3)'!$A$6:F$13,$A10,'Omatulud (3)'!F$6:F$13)</f>
        <v>0</v>
      </c>
      <c r="F10" s="8">
        <f ca="1">SUMIF('Omatulud (3)'!$A$6:G$13,$A10,'Omatulud (3)'!G$6:G$13)</f>
        <v>0</v>
      </c>
      <c r="G10" s="8">
        <f ca="1">SUMIF('Omatulud (3)'!$A$6:H$13,$A10,'Omatulud (3)'!H$6:H$13)</f>
        <v>0</v>
      </c>
      <c r="H10" s="8">
        <f ca="1">SUMIF('Omatulud (3)'!$A$6:I$13,$A10,'Omatulud (3)'!I$6:I$13)</f>
        <v>0</v>
      </c>
      <c r="I10" s="8" t="e">
        <f>SUMIF('Omatulud (3)'!$A$6:I$13,$A10,'Omatulud (3)'!#REF!)</f>
        <v>#REF!</v>
      </c>
      <c r="J10" s="8" t="e">
        <f>SUMIF('Omatulud (3)'!$A$6:I$13,$A10,'Omatulud (3)'!#REF!)</f>
        <v>#REF!</v>
      </c>
      <c r="K10" s="8" t="e">
        <f>SUMIF('Omatulud (3)'!$A$6:I$13,$A10,'Omatulud (3)'!#REF!)</f>
        <v>#REF!</v>
      </c>
      <c r="L10" s="8" t="e">
        <f>SUMIF('Omatulud (3)'!$A$6:I$13,$A10,'Omatulud (3)'!#REF!)</f>
        <v>#REF!</v>
      </c>
    </row>
    <row r="11" spans="1:12" x14ac:dyDescent="0.25">
      <c r="A11" s="7" t="s">
        <v>63</v>
      </c>
      <c r="B11" s="8">
        <f ca="1">SUMIF('Omatulud (3)'!$A$6:B$13,$A11,'Omatulud (3)'!B$6:B$13)</f>
        <v>1363700</v>
      </c>
      <c r="C11" s="8">
        <f ca="1">SUMIF('Omatulud (3)'!$A$6:C$13,$A11,'Omatulud (3)'!C$6:C$13)</f>
        <v>0</v>
      </c>
      <c r="D11" s="8">
        <f ca="1">SUMIF('Omatulud (3)'!$A$6:E$13,$A11,'Omatulud (3)'!E$6:E$13)</f>
        <v>1363700</v>
      </c>
      <c r="E11" s="8">
        <f ca="1">SUMIF('Omatulud (3)'!$A$6:F$13,$A11,'Omatulud (3)'!F$6:F$13)</f>
        <v>1363700</v>
      </c>
      <c r="F11" s="8">
        <f ca="1">SUMIF('Omatulud (3)'!$A$6:G$13,$A11,'Omatulud (3)'!G$6:G$13)</f>
        <v>0</v>
      </c>
      <c r="G11" s="8">
        <f ca="1">SUMIF('Omatulud (3)'!$A$6:H$13,$A11,'Omatulud (3)'!H$6:H$13)</f>
        <v>0</v>
      </c>
      <c r="H11" s="8">
        <f ca="1">SUMIF('Omatulud (3)'!$A$6:I$13,$A11,'Omatulud (3)'!I$6:I$13)</f>
        <v>0</v>
      </c>
      <c r="I11" s="8" t="e">
        <f>SUMIF('Omatulud (3)'!$A$6:I$13,$A11,'Omatulud (3)'!#REF!)</f>
        <v>#REF!</v>
      </c>
      <c r="J11" s="8" t="e">
        <f>SUMIF('Omatulud (3)'!$A$6:I$13,$A11,'Omatulud (3)'!#REF!)</f>
        <v>#REF!</v>
      </c>
      <c r="K11" s="8" t="e">
        <f>SUMIF('Omatulud (3)'!$A$6:I$13,$A11,'Omatulud (3)'!#REF!)</f>
        <v>#REF!</v>
      </c>
      <c r="L11" s="8" t="e">
        <f>SUMIF('Omatulud (3)'!$A$6:I$13,$A11,'Omatulud (3)'!#REF!)</f>
        <v>#REF!</v>
      </c>
    </row>
    <row r="12" spans="1:12" x14ac:dyDescent="0.25">
      <c r="A12" s="5" t="s">
        <v>57</v>
      </c>
      <c r="B12" s="8">
        <f ca="1">SUMIF('Omatulud (3)'!$A$6:B$13,$A12,'Omatulud (3)'!B$6:B$13)</f>
        <v>0</v>
      </c>
      <c r="C12" s="8">
        <f ca="1">SUMIF('Omatulud (3)'!$A$6:C$13,$A12,'Omatulud (3)'!C$6:C$13)</f>
        <v>0</v>
      </c>
      <c r="D12" s="8">
        <f ca="1">SUMIF('Omatulud (3)'!$A$6:E$13,$A12,'Omatulud (3)'!E$6:E$13)</f>
        <v>0</v>
      </c>
      <c r="E12" s="8">
        <f ca="1">SUMIF('Omatulud (3)'!$A$6:F$13,$A12,'Omatulud (3)'!F$6:F$13)</f>
        <v>0</v>
      </c>
      <c r="F12" s="8">
        <f ca="1">SUMIF('Omatulud (3)'!$A$6:G$13,$A12,'Omatulud (3)'!G$6:G$13)</f>
        <v>0</v>
      </c>
      <c r="G12" s="8">
        <f ca="1">SUMIF('Omatulud (3)'!$A$6:H$13,$A12,'Omatulud (3)'!H$6:H$13)</f>
        <v>0</v>
      </c>
      <c r="H12" s="8">
        <f ca="1">SUMIF('Omatulud (3)'!$A$6:I$13,$A12,'Omatulud (3)'!I$6:I$13)</f>
        <v>0</v>
      </c>
      <c r="I12" s="8" t="e">
        <f>SUMIF('Omatulud (3)'!$A$6:I$13,$A12,'Omatulud (3)'!#REF!)</f>
        <v>#REF!</v>
      </c>
      <c r="J12" s="8" t="e">
        <f>SUMIF('Omatulud (3)'!$A$6:I$13,$A12,'Omatulud (3)'!#REF!)</f>
        <v>#REF!</v>
      </c>
      <c r="K12" s="8" t="e">
        <f>SUMIF('Omatulud (3)'!$A$6:I$13,$A12,'Omatulud (3)'!#REF!)</f>
        <v>#REF!</v>
      </c>
      <c r="L12" s="8" t="e">
        <f>SUMIF('Omatulud (3)'!$A$6:I$13,$A12,'Omatulud (3)'!#REF!)</f>
        <v>#REF!</v>
      </c>
    </row>
    <row r="13" spans="1:12" x14ac:dyDescent="0.25">
      <c r="A13" s="5" t="s">
        <v>52</v>
      </c>
      <c r="B13" s="8">
        <f ca="1">SUMIF('Omatulud (3)'!$A$6:B$13,$A13,'Omatulud (3)'!B$6:B$13)</f>
        <v>4000</v>
      </c>
      <c r="C13" s="8">
        <f ca="1">SUMIF('Omatulud (3)'!$A$6:C$13,$A13,'Omatulud (3)'!C$6:C$13)</f>
        <v>0</v>
      </c>
      <c r="D13" s="8">
        <f ca="1">SUMIF('Omatulud (3)'!$A$6:E$13,$A13,'Omatulud (3)'!E$6:E$13)</f>
        <v>4000</v>
      </c>
      <c r="E13" s="8">
        <f ca="1">SUMIF('Omatulud (3)'!$A$6:F$13,$A13,'Omatulud (3)'!F$6:F$13)</f>
        <v>4000</v>
      </c>
      <c r="F13" s="8">
        <f ca="1">SUMIF('Omatulud (3)'!$A$6:G$13,$A13,'Omatulud (3)'!G$6:G$13)</f>
        <v>0</v>
      </c>
      <c r="G13" s="8">
        <f ca="1">SUMIF('Omatulud (3)'!$A$6:H$13,$A13,'Omatulud (3)'!H$6:H$13)</f>
        <v>0</v>
      </c>
      <c r="H13" s="8">
        <f ca="1">SUMIF('Omatulud (3)'!$A$6:I$13,$A13,'Omatulud (3)'!I$6:I$13)</f>
        <v>0</v>
      </c>
      <c r="I13" s="8" t="e">
        <f>SUMIF('Omatulud (3)'!$A$6:I$13,$A13,'Omatulud (3)'!#REF!)</f>
        <v>#REF!</v>
      </c>
      <c r="J13" s="8" t="e">
        <f>SUMIF('Omatulud (3)'!$A$6:I$13,$A13,'Omatulud (3)'!#REF!)</f>
        <v>#REF!</v>
      </c>
      <c r="K13" s="8" t="e">
        <f>SUMIF('Omatulud (3)'!$A$6:I$13,$A13,'Omatulud (3)'!#REF!)</f>
        <v>#REF!</v>
      </c>
      <c r="L13" s="8" t="e">
        <f>SUMIF('Omatulud (3)'!$A$6:I$13,$A13,'Omatulud (3)'!#REF!)</f>
        <v>#REF!</v>
      </c>
    </row>
    <row r="14" spans="1:12" x14ac:dyDescent="0.25">
      <c r="A14" s="5" t="s">
        <v>58</v>
      </c>
      <c r="B14" s="8">
        <f ca="1">SUMIF('Omatulud (3)'!$A$6:B$13,$A14,'Omatulud (3)'!B$6:B$13)</f>
        <v>0</v>
      </c>
      <c r="C14" s="8">
        <f ca="1">SUMIF('Omatulud (3)'!$A$6:C$13,$A14,'Omatulud (3)'!C$6:C$13)</f>
        <v>0</v>
      </c>
      <c r="D14" s="8">
        <f ca="1">SUMIF('Omatulud (3)'!$A$6:E$13,$A14,'Omatulud (3)'!E$6:E$13)</f>
        <v>0</v>
      </c>
      <c r="E14" s="8">
        <f ca="1">SUMIF('Omatulud (3)'!$A$6:F$13,$A14,'Omatulud (3)'!F$6:F$13)</f>
        <v>0</v>
      </c>
      <c r="F14" s="8">
        <f ca="1">SUMIF('Omatulud (3)'!$A$6:G$13,$A14,'Omatulud (3)'!G$6:G$13)</f>
        <v>0</v>
      </c>
      <c r="G14" s="8">
        <f ca="1">SUMIF('Omatulud (3)'!$A$6:H$13,$A14,'Omatulud (3)'!H$6:H$13)</f>
        <v>0</v>
      </c>
      <c r="H14" s="8">
        <f ca="1">SUMIF('Omatulud (3)'!$A$6:I$13,$A14,'Omatulud (3)'!I$6:I$13)</f>
        <v>0</v>
      </c>
      <c r="I14" s="8" t="e">
        <f>SUMIF('Omatulud (3)'!$A$6:I$13,$A14,'Omatulud (3)'!#REF!)</f>
        <v>#REF!</v>
      </c>
      <c r="J14" s="8" t="e">
        <f>SUMIF('Omatulud (3)'!$A$6:I$13,$A14,'Omatulud (3)'!#REF!)</f>
        <v>#REF!</v>
      </c>
      <c r="K14" s="8" t="e">
        <f>SUMIF('Omatulud (3)'!$A$6:I$13,$A14,'Omatulud (3)'!#REF!)</f>
        <v>#REF!</v>
      </c>
      <c r="L14" s="8" t="e">
        <f>SUMIF('Omatulud (3)'!$A$6:I$13,$A14,'Omatulud (3)'!#REF!)</f>
        <v>#REF!</v>
      </c>
    </row>
    <row r="15" spans="1:12" x14ac:dyDescent="0.25">
      <c r="A15" s="5" t="s">
        <v>51</v>
      </c>
      <c r="B15" s="8">
        <f ca="1">SUMIF('Omatulud (3)'!$A$6:B$13,$A15,'Omatulud (3)'!B$6:B$13)</f>
        <v>0</v>
      </c>
      <c r="C15" s="8">
        <f ca="1">SUMIF('Omatulud (3)'!$A$6:C$13,$A15,'Omatulud (3)'!C$6:C$13)</f>
        <v>0</v>
      </c>
      <c r="D15" s="8">
        <f ca="1">SUMIF('Omatulud (3)'!$A$6:E$13,$A15,'Omatulud (3)'!E$6:E$13)</f>
        <v>0</v>
      </c>
      <c r="E15" s="8">
        <f ca="1">SUMIF('Omatulud (3)'!$A$6:F$13,$A15,'Omatulud (3)'!F$6:F$13)</f>
        <v>0</v>
      </c>
      <c r="F15" s="8">
        <f ca="1">SUMIF('Omatulud (3)'!$A$6:G$13,$A15,'Omatulud (3)'!G$6:G$13)</f>
        <v>0</v>
      </c>
      <c r="G15" s="8">
        <f ca="1">SUMIF('Omatulud (3)'!$A$6:H$13,$A15,'Omatulud (3)'!H$6:H$13)</f>
        <v>0</v>
      </c>
      <c r="H15" s="8">
        <f ca="1">SUMIF('Omatulud (3)'!$A$6:I$13,$A15,'Omatulud (3)'!I$6:I$13)</f>
        <v>0</v>
      </c>
      <c r="I15" s="8" t="e">
        <f>SUMIF('Omatulud (3)'!$A$6:I$13,$A15,'Omatulud (3)'!#REF!)</f>
        <v>#REF!</v>
      </c>
      <c r="J15" s="8" t="e">
        <f>SUMIF('Omatulud (3)'!$A$6:I$13,$A15,'Omatulud (3)'!#REF!)</f>
        <v>#REF!</v>
      </c>
      <c r="K15" s="8" t="e">
        <f>SUMIF('Omatulud (3)'!$A$6:I$13,$A15,'Omatulud (3)'!#REF!)</f>
        <v>#REF!</v>
      </c>
      <c r="L15" s="8" t="e">
        <f>SUMIF('Omatulud (3)'!$A$6:I$13,$A15,'Omatulud (3)'!#REF!)</f>
        <v>#REF!</v>
      </c>
    </row>
    <row r="16" spans="1:12" x14ac:dyDescent="0.25">
      <c r="A16" s="29" t="s">
        <v>11</v>
      </c>
      <c r="B16" s="8">
        <f ca="1">SUMIF('Omatulud (3)'!$A$6:B$13,$A16,'Omatulud (3)'!B$6:B$13)</f>
        <v>0</v>
      </c>
      <c r="C16" s="8">
        <f ca="1">SUMIF('Omatulud (3)'!$A$6:C$13,$A16,'Omatulud (3)'!C$6:C$13)</f>
        <v>0</v>
      </c>
      <c r="D16" s="8">
        <f ca="1">SUMIF('Omatulud (3)'!$A$6:E$13,$A16,'Omatulud (3)'!E$6:E$13)</f>
        <v>0</v>
      </c>
      <c r="E16" s="8">
        <f ca="1">SUMIF('Omatulud (3)'!$A$6:F$13,$A16,'Omatulud (3)'!F$6:F$13)</f>
        <v>0</v>
      </c>
      <c r="F16" s="8">
        <f ca="1">SUMIF('Omatulud (3)'!$A$6:G$13,$A16,'Omatulud (3)'!G$6:G$13)</f>
        <v>0</v>
      </c>
      <c r="G16" s="8">
        <f ca="1">SUMIF('Omatulud (3)'!$A$6:H$13,$A16,'Omatulud (3)'!H$6:H$13)</f>
        <v>0</v>
      </c>
      <c r="H16" s="8">
        <f ca="1">SUMIF('Omatulud (3)'!$A$6:I$13,$A16,'Omatulud (3)'!I$6:I$13)</f>
        <v>0</v>
      </c>
      <c r="I16" s="8" t="e">
        <f>SUMIF('Omatulud (3)'!$A$6:I$13,$A16,'Omatulud (3)'!#REF!)</f>
        <v>#REF!</v>
      </c>
      <c r="J16" s="8" t="e">
        <f>SUMIF('Omatulud (3)'!$A$6:I$13,$A16,'Omatulud (3)'!#REF!)</f>
        <v>#REF!</v>
      </c>
      <c r="K16" s="8" t="e">
        <f>SUMIF('Omatulud (3)'!$A$6:I$13,$A16,'Omatulud (3)'!#REF!)</f>
        <v>#REF!</v>
      </c>
      <c r="L16" s="8" t="e">
        <f>SUMIF('Omatulud (3)'!$A$6:I$13,$A16,'Omatulud (3)'!#REF!)</f>
        <v>#REF!</v>
      </c>
    </row>
    <row r="17" spans="1:12" x14ac:dyDescent="0.25">
      <c r="A17" s="28" t="s">
        <v>68</v>
      </c>
      <c r="B17" s="8">
        <f ca="1">SUMIF('Omatulud (3)'!$A$6:B$13,$A17,'Omatulud (3)'!B$6:B$13)</f>
        <v>0</v>
      </c>
      <c r="C17" s="8">
        <f ca="1">SUMIF('Omatulud (3)'!$A$6:C$13,$A17,'Omatulud (3)'!C$6:C$13)</f>
        <v>0</v>
      </c>
      <c r="D17" s="8">
        <f ca="1">SUMIF('Omatulud (3)'!$A$6:E$13,$A17,'Omatulud (3)'!E$6:E$13)</f>
        <v>0</v>
      </c>
      <c r="E17" s="8">
        <f ca="1">SUMIF('Omatulud (3)'!$A$6:F$13,$A17,'Omatulud (3)'!F$6:F$13)</f>
        <v>0</v>
      </c>
      <c r="F17" s="8">
        <f ca="1">SUMIF('Omatulud (3)'!$A$6:G$13,$A17,'Omatulud (3)'!G$6:G$13)</f>
        <v>0</v>
      </c>
      <c r="G17" s="8">
        <f ca="1">SUMIF('Omatulud (3)'!$A$6:H$13,$A17,'Omatulud (3)'!H$6:H$13)</f>
        <v>0</v>
      </c>
      <c r="H17" s="8">
        <f ca="1">SUMIF('Omatulud (3)'!$A$6:I$13,$A17,'Omatulud (3)'!I$6:I$13)</f>
        <v>0</v>
      </c>
      <c r="I17" s="8" t="e">
        <f>SUMIF('Omatulud (3)'!$A$6:I$13,$A17,'Omatulud (3)'!#REF!)</f>
        <v>#REF!</v>
      </c>
      <c r="J17" s="8" t="e">
        <f>SUMIF('Omatulud (3)'!$A$6:I$13,$A17,'Omatulud (3)'!#REF!)</f>
        <v>#REF!</v>
      </c>
      <c r="K17" s="8" t="e">
        <f>SUMIF('Omatulud (3)'!$A$6:I$13,$A17,'Omatulud (3)'!#REF!)</f>
        <v>#REF!</v>
      </c>
      <c r="L17" s="8" t="e">
        <f>SUMIF('Omatulud (3)'!$A$6:I$13,$A17,'Omatulud (3)'!#REF!)</f>
        <v>#REF!</v>
      </c>
    </row>
    <row r="18" spans="1:12" x14ac:dyDescent="0.25">
      <c r="A18" s="3" t="s">
        <v>12</v>
      </c>
      <c r="B18" s="9">
        <f ca="1">B12+B13+B14+B15+B1+B17</f>
        <v>1367700</v>
      </c>
      <c r="C18" s="9">
        <f t="shared" ref="C18:L18" ca="1" si="1">C12+C13+C14+C15+C1+C17</f>
        <v>0</v>
      </c>
      <c r="D18" s="9">
        <f t="shared" ca="1" si="1"/>
        <v>1367700</v>
      </c>
      <c r="E18" s="9">
        <f t="shared" ca="1" si="1"/>
        <v>1367700</v>
      </c>
      <c r="F18" s="9">
        <f t="shared" ca="1" si="1"/>
        <v>0</v>
      </c>
      <c r="G18" s="9">
        <f t="shared" ca="1" si="1"/>
        <v>0</v>
      </c>
      <c r="H18" s="9">
        <f t="shared" ca="1" si="1"/>
        <v>0</v>
      </c>
      <c r="I18" s="9" t="e">
        <f t="shared" si="1"/>
        <v>#REF!</v>
      </c>
      <c r="J18" s="9" t="e">
        <f t="shared" si="1"/>
        <v>#REF!</v>
      </c>
      <c r="K18" s="9" t="e">
        <f t="shared" si="1"/>
        <v>#REF!</v>
      </c>
      <c r="L18" s="9" t="e">
        <f t="shared" si="1"/>
        <v>#REF!</v>
      </c>
    </row>
    <row r="19" spans="1:12" x14ac:dyDescent="0.25">
      <c r="A19" s="5"/>
      <c r="B19" s="24" t="e">
        <f ca="1">B18-'Omatulud (3)'!#REF!</f>
        <v>#REF!</v>
      </c>
      <c r="C19" s="24" t="e">
        <f ca="1">C18-'Omatulud (3)'!#REF!</f>
        <v>#REF!</v>
      </c>
      <c r="D19" s="24" t="e">
        <f ca="1">D18-'Omatulud (3)'!#REF!</f>
        <v>#REF!</v>
      </c>
      <c r="E19" s="24" t="e">
        <f ca="1">E18-'Omatulud (3)'!#REF!</f>
        <v>#REF!</v>
      </c>
      <c r="F19" s="24" t="e">
        <f ca="1">F18-'Omatulud (3)'!#REF!</f>
        <v>#REF!</v>
      </c>
      <c r="G19" s="24" t="e">
        <f ca="1">G18-'Omatulud (3)'!#REF!</f>
        <v>#REF!</v>
      </c>
      <c r="H19" s="24" t="e">
        <f ca="1">H18-'Omatulud (3)'!#REF!</f>
        <v>#REF!</v>
      </c>
      <c r="I19" s="24" t="e">
        <f>I18-'Omatulud (3)'!#REF!</f>
        <v>#REF!</v>
      </c>
      <c r="J19" s="24" t="e">
        <f>J18-'Omatulud (3)'!#REF!</f>
        <v>#REF!</v>
      </c>
      <c r="K19" s="24" t="e">
        <f>K18-'Omatulud (3)'!#REF!</f>
        <v>#REF!</v>
      </c>
      <c r="L19" s="24" t="e">
        <f>L18-'Omatulud (3)'!#REF!</f>
        <v>#REF!</v>
      </c>
    </row>
    <row r="21" spans="1:12" x14ac:dyDescent="0.25">
      <c r="C21" s="5"/>
    </row>
    <row r="23" spans="1:12" x14ac:dyDescent="0.25">
      <c r="A23" s="32"/>
      <c r="B23" s="33"/>
    </row>
    <row r="24" spans="1:12" x14ac:dyDescent="0.25">
      <c r="A24" s="30"/>
      <c r="B24" s="4" t="s">
        <v>8</v>
      </c>
      <c r="C24" s="10" t="s">
        <v>70</v>
      </c>
      <c r="D24" s="10" t="s">
        <v>48</v>
      </c>
      <c r="E24" s="10" t="s">
        <v>9</v>
      </c>
      <c r="F24" s="10" t="s">
        <v>67</v>
      </c>
    </row>
    <row r="25" spans="1:12" x14ac:dyDescent="0.25">
      <c r="A25" s="27" t="s">
        <v>119</v>
      </c>
      <c r="B25" s="16" t="e">
        <f>'Kulud (6)'!#REF!</f>
        <v>#REF!</v>
      </c>
      <c r="C25" s="16" t="e">
        <f>'Kulud (6)'!#REF!</f>
        <v>#REF!</v>
      </c>
      <c r="D25" s="16" t="e">
        <f>'Kulud (6)'!#REF!</f>
        <v>#REF!</v>
      </c>
      <c r="E25" s="16" t="e">
        <f>'Kulud (6)'!#REF!</f>
        <v>#REF!</v>
      </c>
      <c r="F25" s="16" t="e">
        <f>'Kulud (6)'!#REF!</f>
        <v>#REF!</v>
      </c>
      <c r="G25" s="16" t="e">
        <f>SUM(B25:F25)</f>
        <v>#REF!</v>
      </c>
      <c r="H25" s="16" t="e">
        <f>'Kulud (6)'!#REF!</f>
        <v>#REF!</v>
      </c>
      <c r="I25" s="16" t="e">
        <f>G25-H25</f>
        <v>#REF!</v>
      </c>
    </row>
    <row r="26" spans="1:12" x14ac:dyDescent="0.25">
      <c r="A26" s="40" t="s">
        <v>120</v>
      </c>
      <c r="B26" s="16" t="e">
        <f>#REF!</f>
        <v>#REF!</v>
      </c>
      <c r="C26" s="16" t="e">
        <f>#REF!</f>
        <v>#REF!</v>
      </c>
      <c r="D26" s="16" t="e">
        <f>#REF!</f>
        <v>#REF!</v>
      </c>
      <c r="E26" s="16" t="e">
        <f>#REF!</f>
        <v>#REF!</v>
      </c>
      <c r="F26" s="16"/>
      <c r="G26" s="16" t="e">
        <f t="shared" ref="G26:G33" si="2">SUM(B26:F26)</f>
        <v>#REF!</v>
      </c>
      <c r="H26" s="16" t="e">
        <f>#REF!</f>
        <v>#REF!</v>
      </c>
      <c r="I26" s="16" t="e">
        <f>G26-H26</f>
        <v>#REF!</v>
      </c>
    </row>
    <row r="27" spans="1:12" x14ac:dyDescent="0.25">
      <c r="A27" s="40" t="s">
        <v>134</v>
      </c>
      <c r="B27" s="16"/>
      <c r="G27" s="16">
        <f t="shared" si="2"/>
        <v>0</v>
      </c>
    </row>
    <row r="28" spans="1:12" x14ac:dyDescent="0.25">
      <c r="A28" s="48" t="s">
        <v>140</v>
      </c>
      <c r="B28" s="16" t="e">
        <f>#REF!</f>
        <v>#REF!</v>
      </c>
      <c r="G28" s="16" t="e">
        <f t="shared" si="2"/>
        <v>#REF!</v>
      </c>
    </row>
    <row r="29" spans="1:12" x14ac:dyDescent="0.25">
      <c r="A29" s="40" t="s">
        <v>121</v>
      </c>
      <c r="B29" s="16" t="e">
        <f>#REF!</f>
        <v>#REF!</v>
      </c>
      <c r="G29" s="16" t="e">
        <f t="shared" si="2"/>
        <v>#REF!</v>
      </c>
    </row>
    <row r="30" spans="1:12" x14ac:dyDescent="0.25">
      <c r="A30" s="40" t="s">
        <v>141</v>
      </c>
      <c r="B30" s="16"/>
      <c r="C30" s="16"/>
      <c r="G30" s="16">
        <f t="shared" si="2"/>
        <v>0</v>
      </c>
    </row>
    <row r="31" spans="1:12" x14ac:dyDescent="0.25">
      <c r="A31" s="48" t="s">
        <v>142</v>
      </c>
      <c r="B31" s="16"/>
      <c r="C31" s="16"/>
      <c r="G31" s="16">
        <f t="shared" si="2"/>
        <v>0</v>
      </c>
    </row>
    <row r="32" spans="1:12" x14ac:dyDescent="0.25">
      <c r="A32" s="40" t="s">
        <v>125</v>
      </c>
      <c r="B32" s="16"/>
      <c r="C32" s="16" t="e">
        <f>-#REF!</f>
        <v>#REF!</v>
      </c>
      <c r="G32" s="16" t="e">
        <f t="shared" si="2"/>
        <v>#REF!</v>
      </c>
    </row>
    <row r="33" spans="1:9" x14ac:dyDescent="0.25">
      <c r="A33" s="40" t="s">
        <v>124</v>
      </c>
      <c r="B33" s="16" t="e">
        <f>-#REF!</f>
        <v>#REF!</v>
      </c>
      <c r="G33" s="16" t="e">
        <f t="shared" si="2"/>
        <v>#REF!</v>
      </c>
    </row>
    <row r="34" spans="1:9" x14ac:dyDescent="0.25">
      <c r="A34" s="41" t="s">
        <v>12</v>
      </c>
      <c r="B34" s="42" t="e">
        <f t="shared" ref="B34:F34" si="3">SUM(B25:B33)</f>
        <v>#REF!</v>
      </c>
      <c r="C34" s="42" t="e">
        <f t="shared" si="3"/>
        <v>#REF!</v>
      </c>
      <c r="D34" s="42" t="e">
        <f t="shared" si="3"/>
        <v>#REF!</v>
      </c>
      <c r="E34" s="42" t="e">
        <f t="shared" si="3"/>
        <v>#REF!</v>
      </c>
      <c r="F34" s="42" t="e">
        <f t="shared" si="3"/>
        <v>#REF!</v>
      </c>
      <c r="G34" s="42" t="e">
        <f>SUM(G25:G33)</f>
        <v>#REF!</v>
      </c>
      <c r="H34" s="33" t="e">
        <f>G34-#REF!</f>
        <v>#REF!</v>
      </c>
      <c r="I34" s="16"/>
    </row>
    <row r="35" spans="1:9" x14ac:dyDescent="0.25">
      <c r="A35" s="31"/>
      <c r="B35" s="16"/>
      <c r="C35" s="16"/>
      <c r="D35" s="16"/>
      <c r="E35" s="16"/>
      <c r="F35" s="16"/>
      <c r="G35" s="16"/>
    </row>
    <row r="36" spans="1:9" x14ac:dyDescent="0.25">
      <c r="A36" s="40" t="s">
        <v>122</v>
      </c>
      <c r="B36" s="16">
        <f>'LK tulud (2)'!B85</f>
        <v>8600000</v>
      </c>
      <c r="C36" s="16" t="e">
        <f>'Omatulud (3)'!#REF!</f>
        <v>#REF!</v>
      </c>
      <c r="D36" s="16" t="e">
        <f>'Toetused (5)'!#REF!</f>
        <v>#REF!</v>
      </c>
      <c r="E36" s="16">
        <f>'Toetused (5)'!B5</f>
        <v>149860731</v>
      </c>
      <c r="F36" s="16">
        <f>'Toetused (5)'!B22</f>
        <v>375361</v>
      </c>
      <c r="G36" s="16" t="e">
        <f t="shared" ref="G36:G43" si="4">SUM(B36:F36)</f>
        <v>#REF!</v>
      </c>
    </row>
    <row r="37" spans="1:9" x14ac:dyDescent="0.25">
      <c r="A37" s="40" t="s">
        <v>123</v>
      </c>
      <c r="B37" s="16" t="e">
        <f>-#REF!</f>
        <v>#REF!</v>
      </c>
      <c r="G37" s="16" t="e">
        <f t="shared" si="4"/>
        <v>#REF!</v>
      </c>
    </row>
    <row r="38" spans="1:9" x14ac:dyDescent="0.25">
      <c r="A38" s="40" t="s">
        <v>23</v>
      </c>
      <c r="B38" s="16" t="e">
        <f>#REF!</f>
        <v>#REF!</v>
      </c>
      <c r="G38" s="16" t="e">
        <f t="shared" si="4"/>
        <v>#REF!</v>
      </c>
    </row>
    <row r="39" spans="1:9" x14ac:dyDescent="0.25">
      <c r="A39" s="48" t="s">
        <v>144</v>
      </c>
      <c r="B39" s="16" t="e">
        <f>#REF!</f>
        <v>#REF!</v>
      </c>
      <c r="G39" s="16" t="e">
        <f t="shared" si="4"/>
        <v>#REF!</v>
      </c>
    </row>
    <row r="40" spans="1:9" x14ac:dyDescent="0.25">
      <c r="A40" s="48" t="s">
        <v>145</v>
      </c>
      <c r="B40" s="16" t="e">
        <f>-#REF!</f>
        <v>#REF!</v>
      </c>
      <c r="G40" s="16" t="e">
        <f t="shared" si="4"/>
        <v>#REF!</v>
      </c>
    </row>
    <row r="41" spans="1:9" x14ac:dyDescent="0.25">
      <c r="A41" s="48" t="s">
        <v>143</v>
      </c>
      <c r="B41" s="16" t="e">
        <f>-#REF!</f>
        <v>#REF!</v>
      </c>
      <c r="G41" s="16" t="e">
        <f t="shared" si="4"/>
        <v>#REF!</v>
      </c>
    </row>
    <row r="42" spans="1:9" x14ac:dyDescent="0.25">
      <c r="A42" s="40" t="s">
        <v>126</v>
      </c>
      <c r="B42" s="16" t="e">
        <f>-#REF!</f>
        <v>#REF!</v>
      </c>
      <c r="G42" s="16" t="e">
        <f t="shared" si="4"/>
        <v>#REF!</v>
      </c>
    </row>
    <row r="43" spans="1:9" x14ac:dyDescent="0.25">
      <c r="A43" s="43" t="s">
        <v>12</v>
      </c>
      <c r="B43" s="14" t="e">
        <f>SUM(B36:B42)</f>
        <v>#REF!</v>
      </c>
      <c r="C43" s="14" t="e">
        <f>C34</f>
        <v>#REF!</v>
      </c>
      <c r="D43" s="14" t="e">
        <f t="shared" ref="D43:F43" si="5">D34</f>
        <v>#REF!</v>
      </c>
      <c r="E43" s="14" t="e">
        <f t="shared" si="5"/>
        <v>#REF!</v>
      </c>
      <c r="F43" s="14" t="e">
        <f t="shared" si="5"/>
        <v>#REF!</v>
      </c>
      <c r="G43" s="14" t="e">
        <f t="shared" si="4"/>
        <v>#REF!</v>
      </c>
    </row>
    <row r="44" spans="1:9" x14ac:dyDescent="0.25">
      <c r="A44" s="40"/>
      <c r="B44" s="16">
        <f>'LK tulud (2)'!B85</f>
        <v>8600000</v>
      </c>
      <c r="C44" s="16" t="e">
        <f>'Omatulud (3)'!#REF!</f>
        <v>#REF!</v>
      </c>
      <c r="D44" s="16" t="e">
        <f>'Toetused (5)'!#REF!</f>
        <v>#REF!</v>
      </c>
      <c r="E44" s="16">
        <f>'Toetused (5)'!B5</f>
        <v>149860731</v>
      </c>
      <c r="F44" s="16">
        <f>'Toetused (5)'!B22</f>
        <v>375361</v>
      </c>
      <c r="G44" s="16" t="e">
        <f>#REF!</f>
        <v>#REF!</v>
      </c>
    </row>
    <row r="45" spans="1:9" x14ac:dyDescent="0.25">
      <c r="B45" s="16" t="e">
        <f>B34-B43</f>
        <v>#REF!</v>
      </c>
      <c r="C45" s="16" t="e">
        <f>C34-C44</f>
        <v>#REF!</v>
      </c>
      <c r="D45" s="16" t="e">
        <f t="shared" ref="D45:G45" si="6">D34-D44</f>
        <v>#REF!</v>
      </c>
      <c r="E45" s="16" t="e">
        <f t="shared" si="6"/>
        <v>#REF!</v>
      </c>
      <c r="F45" s="16" t="e">
        <f t="shared" si="6"/>
        <v>#REF!</v>
      </c>
      <c r="G45" s="16" t="e">
        <f t="shared" si="6"/>
        <v>#REF!</v>
      </c>
    </row>
    <row r="50" spans="1:7" x14ac:dyDescent="0.25">
      <c r="A50" s="53"/>
      <c r="B50" s="59"/>
      <c r="C50" s="52"/>
      <c r="D50" s="52"/>
      <c r="E50" s="53" t="e">
        <f>E51-#REF!</f>
        <v>#REF!</v>
      </c>
    </row>
    <row r="51" spans="1:7" x14ac:dyDescent="0.25">
      <c r="A51" s="53"/>
      <c r="B51" s="58"/>
      <c r="C51" s="52"/>
      <c r="D51" s="52"/>
      <c r="E51" s="54" t="e">
        <f>SUM(E52:E61)</f>
        <v>#REF!</v>
      </c>
    </row>
    <row r="52" spans="1:7" x14ac:dyDescent="0.25">
      <c r="A52" s="53" t="s">
        <v>160</v>
      </c>
      <c r="B52" s="58"/>
      <c r="C52" s="52"/>
      <c r="D52" s="52"/>
      <c r="E52" s="57" t="e">
        <f>SUMIF(#REF!,A52,#REF!)</f>
        <v>#REF!</v>
      </c>
      <c r="F52" s="60"/>
      <c r="G52" s="61"/>
    </row>
    <row r="53" spans="1:7" x14ac:dyDescent="0.25">
      <c r="A53" s="53" t="s">
        <v>184</v>
      </c>
      <c r="B53" s="58"/>
      <c r="C53" s="52"/>
      <c r="D53" s="52"/>
      <c r="E53" s="57" t="e">
        <f>SUMIF(#REF!,A53,#REF!)</f>
        <v>#REF!</v>
      </c>
      <c r="F53" s="60"/>
      <c r="G53" s="61"/>
    </row>
    <row r="54" spans="1:7" x14ac:dyDescent="0.25">
      <c r="A54" s="53" t="s">
        <v>162</v>
      </c>
      <c r="B54" s="58"/>
      <c r="C54" s="52"/>
      <c r="D54" s="52"/>
      <c r="E54" s="57" t="e">
        <f>SUMIF(#REF!,A54,#REF!)</f>
        <v>#REF!</v>
      </c>
      <c r="F54" s="60"/>
      <c r="G54" s="61"/>
    </row>
    <row r="55" spans="1:7" x14ac:dyDescent="0.25">
      <c r="A55" s="53" t="s">
        <v>163</v>
      </c>
      <c r="B55" s="58"/>
      <c r="C55" s="52"/>
      <c r="D55" s="52"/>
      <c r="E55" s="57" t="e">
        <f>SUMIF(#REF!,A55,#REF!)</f>
        <v>#REF!</v>
      </c>
      <c r="F55" s="60"/>
      <c r="G55" s="61"/>
    </row>
    <row r="56" spans="1:7" x14ac:dyDescent="0.25">
      <c r="A56" s="53" t="s">
        <v>161</v>
      </c>
      <c r="B56" s="58"/>
      <c r="C56" s="52"/>
      <c r="D56" s="52"/>
      <c r="E56" s="57" t="e">
        <f>SUMIF(#REF!,A56,#REF!)</f>
        <v>#REF!</v>
      </c>
      <c r="F56" s="60"/>
      <c r="G56" s="61"/>
    </row>
    <row r="57" spans="1:7" x14ac:dyDescent="0.25">
      <c r="A57" s="53" t="s">
        <v>168</v>
      </c>
      <c r="B57" s="58"/>
      <c r="C57" s="52"/>
      <c r="D57" s="52"/>
      <c r="E57" s="57" t="e">
        <f>SUMIF(#REF!,A57,#REF!)</f>
        <v>#REF!</v>
      </c>
      <c r="F57" s="60"/>
      <c r="G57" s="61"/>
    </row>
    <row r="58" spans="1:7" x14ac:dyDescent="0.25">
      <c r="A58" s="53" t="s">
        <v>167</v>
      </c>
      <c r="B58" s="58"/>
      <c r="C58" s="52"/>
      <c r="D58" s="52"/>
      <c r="E58" s="57" t="e">
        <f>SUMIF(#REF!,A58,#REF!)</f>
        <v>#REF!</v>
      </c>
      <c r="F58" s="60"/>
      <c r="G58" s="61"/>
    </row>
    <row r="59" spans="1:7" x14ac:dyDescent="0.25">
      <c r="A59" s="53" t="s">
        <v>164</v>
      </c>
      <c r="B59" s="58"/>
      <c r="C59" s="52"/>
      <c r="D59" s="52"/>
      <c r="E59" s="57" t="e">
        <f>SUMIF(#REF!,A59,#REF!)</f>
        <v>#REF!</v>
      </c>
      <c r="F59" s="60"/>
      <c r="G59" s="61"/>
    </row>
    <row r="60" spans="1:7" x14ac:dyDescent="0.25">
      <c r="A60" s="53" t="s">
        <v>165</v>
      </c>
      <c r="B60" s="58"/>
      <c r="C60" s="52"/>
      <c r="D60" s="52"/>
      <c r="E60" s="57" t="e">
        <f>SUMIF(#REF!,A60,#REF!)</f>
        <v>#REF!</v>
      </c>
    </row>
    <row r="61" spans="1:7" x14ac:dyDescent="0.25">
      <c r="A61" s="53" t="s">
        <v>166</v>
      </c>
      <c r="B61" s="58"/>
      <c r="C61" s="52"/>
      <c r="D61" s="52"/>
      <c r="E61" s="57" t="e">
        <f>SUMIF(#REF!,A61,#REF!)</f>
        <v>#REF!</v>
      </c>
    </row>
  </sheetData>
  <phoneticPr fontId="36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00B0F0"/>
  </sheetPr>
  <dimension ref="A1:I34"/>
  <sheetViews>
    <sheetView showZeros="0" zoomScaleNormal="100" workbookViewId="0">
      <pane xSplit="1" ySplit="4" topLeftCell="B5" activePane="bottomRight" state="frozen"/>
      <selection activeCell="C1641" sqref="C1641"/>
      <selection pane="topRight" activeCell="C1641" sqref="C1641"/>
      <selection pane="bottomLeft" activeCell="C1641" sqref="C1641"/>
      <selection pane="bottomRight" activeCell="A21" sqref="A21"/>
    </sheetView>
  </sheetViews>
  <sheetFormatPr defaultColWidth="9.33203125" defaultRowHeight="13.2" x14ac:dyDescent="0.25"/>
  <cols>
    <col min="1" max="1" width="57.5546875" style="13" customWidth="1"/>
    <col min="2" max="2" width="11.5546875" style="51" customWidth="1"/>
    <col min="3" max="4" width="11.5546875" style="51" hidden="1" customWidth="1"/>
    <col min="5" max="5" width="11.88671875" style="23" customWidth="1"/>
    <col min="6" max="6" width="11" style="23" customWidth="1"/>
    <col min="7" max="7" width="10.33203125" style="23" bestFit="1" customWidth="1"/>
    <col min="8" max="8" width="9.33203125" style="23"/>
    <col min="9" max="9" width="29.33203125" style="23" customWidth="1"/>
    <col min="10" max="16384" width="9.33203125" style="23"/>
  </cols>
  <sheetData>
    <row r="1" spans="1:9" ht="13.8" x14ac:dyDescent="0.25">
      <c r="A1" s="1" t="s">
        <v>49</v>
      </c>
      <c r="B1" s="49"/>
      <c r="C1" s="49"/>
      <c r="D1" s="49"/>
      <c r="F1" s="70" t="s">
        <v>236</v>
      </c>
    </row>
    <row r="2" spans="1:9" ht="13.8" x14ac:dyDescent="0.25">
      <c r="A2" s="1"/>
      <c r="B2" s="49"/>
      <c r="C2" s="49"/>
      <c r="D2" s="49"/>
      <c r="F2" s="90" t="s">
        <v>237</v>
      </c>
    </row>
    <row r="3" spans="1:9" x14ac:dyDescent="0.25">
      <c r="A3" s="45"/>
      <c r="B3" s="415" t="s">
        <v>291</v>
      </c>
      <c r="C3" s="415" t="s">
        <v>290</v>
      </c>
      <c r="D3" s="419" t="s">
        <v>292</v>
      </c>
      <c r="E3" s="415" t="s">
        <v>293</v>
      </c>
      <c r="F3" s="416" t="s">
        <v>294</v>
      </c>
      <c r="G3" s="418" t="s">
        <v>295</v>
      </c>
      <c r="H3" s="418"/>
      <c r="I3" s="418"/>
    </row>
    <row r="4" spans="1:9" x14ac:dyDescent="0.25">
      <c r="B4" s="415"/>
      <c r="C4" s="415"/>
      <c r="D4" s="419"/>
      <c r="E4" s="415"/>
      <c r="F4" s="417"/>
      <c r="G4" s="63" t="s">
        <v>13</v>
      </c>
      <c r="H4" s="63" t="s">
        <v>209</v>
      </c>
      <c r="I4" s="72" t="s">
        <v>210</v>
      </c>
    </row>
    <row r="6" spans="1:9" x14ac:dyDescent="0.25">
      <c r="A6" s="197" t="s">
        <v>181</v>
      </c>
      <c r="B6" s="198">
        <f>SUM(B7,B11)</f>
        <v>1367700</v>
      </c>
      <c r="C6" s="22"/>
      <c r="D6" s="198"/>
      <c r="E6" s="198">
        <f t="shared" ref="E6:E13" si="0">SUM(B6:D6)</f>
        <v>1367700</v>
      </c>
      <c r="F6" s="301">
        <f t="shared" ref="F6" si="1">SUM(F7,F11)</f>
        <v>1367700</v>
      </c>
      <c r="G6" s="198">
        <f t="shared" ref="G6:G13" si="2">IF(F6=0,0,F6-E6)</f>
        <v>0</v>
      </c>
      <c r="H6" s="234">
        <f t="shared" ref="H6:H13" si="3">IF(F6=0,"",G6/E6)</f>
        <v>0</v>
      </c>
    </row>
    <row r="7" spans="1:9" x14ac:dyDescent="0.25">
      <c r="A7" s="200" t="s">
        <v>63</v>
      </c>
      <c r="B7" s="199">
        <f>SUM(B8:B10)</f>
        <v>1363700</v>
      </c>
      <c r="C7" s="22"/>
      <c r="D7" s="199"/>
      <c r="E7" s="199">
        <f t="shared" si="0"/>
        <v>1363700</v>
      </c>
      <c r="F7" s="302">
        <f t="shared" ref="F7" si="4">SUM(F8:F10)</f>
        <v>1363700</v>
      </c>
      <c r="G7" s="199">
        <f t="shared" si="2"/>
        <v>0</v>
      </c>
      <c r="H7" s="236">
        <f t="shared" si="3"/>
        <v>0</v>
      </c>
    </row>
    <row r="8" spans="1:9" x14ac:dyDescent="0.25">
      <c r="A8" s="66" t="s">
        <v>87</v>
      </c>
      <c r="B8" s="201">
        <v>1328110</v>
      </c>
      <c r="C8" s="22"/>
      <c r="D8" s="201"/>
      <c r="E8" s="201">
        <f t="shared" si="0"/>
        <v>1328110</v>
      </c>
      <c r="F8" s="304">
        <v>1328110</v>
      </c>
      <c r="G8" s="201">
        <f t="shared" si="2"/>
        <v>0</v>
      </c>
      <c r="H8" s="244">
        <f t="shared" si="3"/>
        <v>0</v>
      </c>
    </row>
    <row r="9" spans="1:9" x14ac:dyDescent="0.25">
      <c r="A9" s="66" t="s">
        <v>88</v>
      </c>
      <c r="B9" s="201">
        <v>14290</v>
      </c>
      <c r="C9" s="22"/>
      <c r="D9" s="201"/>
      <c r="E9" s="201">
        <f t="shared" si="0"/>
        <v>14290</v>
      </c>
      <c r="F9" s="242">
        <v>14290</v>
      </c>
      <c r="G9" s="201">
        <f t="shared" si="2"/>
        <v>0</v>
      </c>
      <c r="H9" s="244">
        <f t="shared" si="3"/>
        <v>0</v>
      </c>
    </row>
    <row r="10" spans="1:9" x14ac:dyDescent="0.25">
      <c r="A10" s="66" t="s">
        <v>89</v>
      </c>
      <c r="B10" s="201">
        <v>21300</v>
      </c>
      <c r="C10" s="22"/>
      <c r="D10" s="201"/>
      <c r="E10" s="201">
        <f t="shared" si="0"/>
        <v>21300</v>
      </c>
      <c r="F10" s="242">
        <v>21300</v>
      </c>
      <c r="G10" s="201">
        <f t="shared" si="2"/>
        <v>0</v>
      </c>
      <c r="H10" s="244">
        <f t="shared" si="3"/>
        <v>0</v>
      </c>
    </row>
    <row r="11" spans="1:9" x14ac:dyDescent="0.25">
      <c r="A11" s="200" t="s">
        <v>52</v>
      </c>
      <c r="B11" s="199">
        <f t="shared" ref="B11" si="5">SUM(B12)</f>
        <v>4000</v>
      </c>
      <c r="C11" s="22"/>
      <c r="D11" s="199"/>
      <c r="E11" s="199">
        <f t="shared" si="0"/>
        <v>4000</v>
      </c>
      <c r="F11" s="302">
        <f>SUM(F12)</f>
        <v>4000</v>
      </c>
      <c r="G11" s="199">
        <f t="shared" si="2"/>
        <v>0</v>
      </c>
      <c r="H11" s="236">
        <f t="shared" si="3"/>
        <v>0</v>
      </c>
    </row>
    <row r="12" spans="1:9" x14ac:dyDescent="0.25">
      <c r="A12" s="66" t="s">
        <v>71</v>
      </c>
      <c r="B12" s="201">
        <v>4000</v>
      </c>
      <c r="C12" s="22"/>
      <c r="D12" s="201"/>
      <c r="E12" s="201">
        <f t="shared" si="0"/>
        <v>4000</v>
      </c>
      <c r="F12" s="242">
        <v>4000</v>
      </c>
      <c r="G12" s="201">
        <f t="shared" si="2"/>
        <v>0</v>
      </c>
      <c r="H12" s="244">
        <f t="shared" si="3"/>
        <v>0</v>
      </c>
    </row>
    <row r="13" spans="1:9" x14ac:dyDescent="0.25">
      <c r="A13" s="200"/>
      <c r="B13" s="199"/>
      <c r="C13" s="22"/>
      <c r="D13" s="199"/>
      <c r="E13" s="199">
        <f t="shared" si="0"/>
        <v>0</v>
      </c>
      <c r="F13" s="303"/>
      <c r="G13" s="199">
        <f t="shared" si="2"/>
        <v>0</v>
      </c>
      <c r="H13" s="236" t="str">
        <f t="shared" si="3"/>
        <v/>
      </c>
    </row>
    <row r="14" spans="1:9" x14ac:dyDescent="0.25">
      <c r="A14" s="38"/>
      <c r="B14" s="23"/>
      <c r="C14" s="50"/>
      <c r="D14" s="50"/>
      <c r="E14" s="50"/>
      <c r="F14" s="50"/>
      <c r="G14" s="50"/>
      <c r="H14" s="50"/>
    </row>
    <row r="15" spans="1:9" x14ac:dyDescent="0.25">
      <c r="A15" s="39"/>
      <c r="B15" s="23"/>
      <c r="C15" s="50"/>
      <c r="D15" s="50"/>
    </row>
    <row r="16" spans="1:9" x14ac:dyDescent="0.25">
      <c r="A16" s="39"/>
      <c r="B16" s="23"/>
      <c r="C16" s="50"/>
      <c r="D16" s="50"/>
    </row>
    <row r="17" spans="1:4" x14ac:dyDescent="0.25">
      <c r="A17" s="36"/>
      <c r="B17" s="23"/>
      <c r="C17" s="50"/>
      <c r="D17" s="50"/>
    </row>
    <row r="18" spans="1:4" x14ac:dyDescent="0.25">
      <c r="A18" s="37"/>
      <c r="B18" s="23"/>
      <c r="C18" s="50"/>
      <c r="D18" s="50"/>
    </row>
    <row r="19" spans="1:4" x14ac:dyDescent="0.25">
      <c r="A19" s="35"/>
      <c r="B19" s="23"/>
      <c r="C19" s="50"/>
      <c r="D19" s="50"/>
    </row>
    <row r="20" spans="1:4" x14ac:dyDescent="0.25">
      <c r="A20" s="34"/>
      <c r="B20" s="23"/>
      <c r="C20" s="50"/>
      <c r="D20" s="50"/>
    </row>
    <row r="21" spans="1:4" x14ac:dyDescent="0.25">
      <c r="A21" s="38"/>
      <c r="B21" s="23"/>
      <c r="C21" s="50"/>
      <c r="D21" s="50"/>
    </row>
    <row r="22" spans="1:4" x14ac:dyDescent="0.25">
      <c r="A22" s="39"/>
      <c r="B22" s="23"/>
      <c r="C22" s="50"/>
      <c r="D22" s="50"/>
    </row>
    <row r="23" spans="1:4" x14ac:dyDescent="0.25">
      <c r="A23" s="5"/>
      <c r="B23" s="23"/>
      <c r="C23" s="50"/>
      <c r="D23" s="50"/>
    </row>
    <row r="24" spans="1:4" x14ac:dyDescent="0.25">
      <c r="B24" s="23"/>
    </row>
    <row r="25" spans="1:4" x14ac:dyDescent="0.25">
      <c r="B25" s="23"/>
    </row>
    <row r="26" spans="1:4" x14ac:dyDescent="0.25">
      <c r="B26" s="23"/>
    </row>
    <row r="27" spans="1:4" x14ac:dyDescent="0.25">
      <c r="B27" s="23"/>
    </row>
    <row r="28" spans="1:4" x14ac:dyDescent="0.25">
      <c r="B28" s="23"/>
    </row>
    <row r="29" spans="1:4" x14ac:dyDescent="0.25">
      <c r="B29" s="23"/>
    </row>
    <row r="30" spans="1:4" x14ac:dyDescent="0.25">
      <c r="B30" s="23"/>
    </row>
    <row r="31" spans="1:4" x14ac:dyDescent="0.25">
      <c r="B31" s="23"/>
    </row>
    <row r="32" spans="1:4" x14ac:dyDescent="0.25">
      <c r="B32" s="23"/>
    </row>
    <row r="33" spans="2:2" x14ac:dyDescent="0.25">
      <c r="B33" s="23"/>
    </row>
    <row r="34" spans="2:2" x14ac:dyDescent="0.25">
      <c r="B34" s="23"/>
    </row>
  </sheetData>
  <autoFilter ref="A5:I13" xr:uid="{00000000-0001-0000-0600-000000000000}"/>
  <mergeCells count="6">
    <mergeCell ref="B3:B4"/>
    <mergeCell ref="C3:C4"/>
    <mergeCell ref="E3:E4"/>
    <mergeCell ref="F3:F4"/>
    <mergeCell ref="G3:I3"/>
    <mergeCell ref="D3:D4"/>
  </mergeCells>
  <phoneticPr fontId="32" type="noConversion"/>
  <pageMargins left="1.1811023622047245" right="0.47244094488188981" top="0.47244094488188981" bottom="0.98425196850393704" header="0.51181102362204722" footer="0.51181102362204722"/>
  <pageSetup paperSize="9" fitToHeight="0" orientation="portrait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rgb="FF00B0F0"/>
  </sheetPr>
  <dimension ref="A1:I115"/>
  <sheetViews>
    <sheetView showZeros="0" zoomScaleNormal="100" workbookViewId="0">
      <pane xSplit="1" ySplit="3" topLeftCell="B4" activePane="bottomRight" state="frozen"/>
      <selection activeCell="C1641" sqref="C1641"/>
      <selection pane="topRight" activeCell="C1641" sqref="C1641"/>
      <selection pane="bottomLeft" activeCell="C1641" sqref="C1641"/>
      <selection pane="bottomRight" activeCell="B12" sqref="B12"/>
    </sheetView>
  </sheetViews>
  <sheetFormatPr defaultColWidth="9.33203125" defaultRowHeight="13.2" x14ac:dyDescent="0.25"/>
  <cols>
    <col min="1" max="1" width="61.5546875" style="18" customWidth="1"/>
    <col min="2" max="2" width="12.6640625" style="26" customWidth="1"/>
    <col min="3" max="4" width="12.6640625" style="26" hidden="1" customWidth="1"/>
    <col min="5" max="5" width="11.33203125" style="18" bestFit="1" customWidth="1"/>
    <col min="6" max="6" width="11.5546875" style="18" bestFit="1" customWidth="1"/>
    <col min="7" max="7" width="10.6640625" style="18" bestFit="1" customWidth="1"/>
    <col min="8" max="8" width="9.33203125" style="18"/>
    <col min="9" max="9" width="25.88671875" style="18" customWidth="1"/>
    <col min="10" max="16384" width="9.33203125" style="18"/>
  </cols>
  <sheetData>
    <row r="1" spans="1:9" ht="13.8" x14ac:dyDescent="0.25">
      <c r="A1" s="12" t="s">
        <v>0</v>
      </c>
      <c r="I1" s="11" t="s">
        <v>238</v>
      </c>
    </row>
    <row r="2" spans="1:9" ht="15" customHeight="1" x14ac:dyDescent="0.25">
      <c r="A2" s="12"/>
      <c r="B2" s="415" t="s">
        <v>291</v>
      </c>
      <c r="C2" s="415" t="s">
        <v>290</v>
      </c>
      <c r="D2" s="415" t="s">
        <v>292</v>
      </c>
      <c r="E2" s="415" t="s">
        <v>293</v>
      </c>
      <c r="F2" s="416" t="s">
        <v>294</v>
      </c>
      <c r="G2" s="418" t="s">
        <v>295</v>
      </c>
      <c r="H2" s="418"/>
      <c r="I2" s="418"/>
    </row>
    <row r="3" spans="1:9" ht="13.8" x14ac:dyDescent="0.25">
      <c r="A3" s="17"/>
      <c r="B3" s="415"/>
      <c r="C3" s="415"/>
      <c r="D3" s="415"/>
      <c r="E3" s="415"/>
      <c r="F3" s="417"/>
      <c r="G3" s="63" t="s">
        <v>13</v>
      </c>
      <c r="H3" s="63" t="s">
        <v>209</v>
      </c>
      <c r="I3" s="72" t="s">
        <v>210</v>
      </c>
    </row>
    <row r="4" spans="1:9" ht="13.8" x14ac:dyDescent="0.25">
      <c r="A4" s="17"/>
      <c r="B4" s="44"/>
      <c r="C4" s="44"/>
      <c r="D4" s="44"/>
    </row>
    <row r="5" spans="1:9" x14ac:dyDescent="0.25">
      <c r="A5" s="245" t="s">
        <v>22</v>
      </c>
      <c r="B5" s="246">
        <f>B6+B20</f>
        <v>149860731</v>
      </c>
      <c r="C5" s="246">
        <f>C6+C20</f>
        <v>0</v>
      </c>
      <c r="D5" s="203">
        <f>D6+D20+D29</f>
        <v>8814815</v>
      </c>
      <c r="E5" s="246">
        <f>SUM(B5:D5)</f>
        <v>158675546</v>
      </c>
      <c r="F5" s="305">
        <f>F6+F20</f>
        <v>144662407</v>
      </c>
      <c r="G5" s="246">
        <f t="shared" ref="G5" si="0">IF(F5=0,0,F5-E5)</f>
        <v>-14013139</v>
      </c>
      <c r="H5" s="289">
        <f t="shared" ref="H5" si="1">IF(F5=0,"",G5/E5)</f>
        <v>-8.831316074374812E-2</v>
      </c>
    </row>
    <row r="6" spans="1:9" x14ac:dyDescent="0.25">
      <c r="A6" s="247" t="s">
        <v>4</v>
      </c>
      <c r="B6" s="248">
        <f>SUM(B7:B19)</f>
        <v>138017878</v>
      </c>
      <c r="C6" s="248">
        <f>SUM(C7:C19)</f>
        <v>0</v>
      </c>
      <c r="D6" s="16">
        <f>SUM(D7:D17)</f>
        <v>6459555</v>
      </c>
      <c r="E6" s="248">
        <f t="shared" ref="E6:E69" si="2">SUM(B6:D6)</f>
        <v>144477433</v>
      </c>
      <c r="F6" s="306">
        <f>SUM(F7:F19)</f>
        <v>137969907</v>
      </c>
      <c r="G6" s="248">
        <f t="shared" ref="G6:G69" si="3">IF(F6=0,0,F6-E6)</f>
        <v>-6507526</v>
      </c>
      <c r="H6" s="290">
        <f t="shared" ref="H6:H69" si="4">IF(F6=0,"",G6/E6)</f>
        <v>-4.5041816322968581E-2</v>
      </c>
    </row>
    <row r="7" spans="1:9" x14ac:dyDescent="0.25">
      <c r="A7" s="249" t="s">
        <v>139</v>
      </c>
      <c r="B7" s="68">
        <f>105281512+7099401</f>
        <v>112380913</v>
      </c>
      <c r="C7" s="62"/>
      <c r="D7" s="250">
        <f>-133384</f>
        <v>-133384</v>
      </c>
      <c r="E7" s="68">
        <f t="shared" si="2"/>
        <v>112247529</v>
      </c>
      <c r="F7" s="307">
        <f>105281512+7099401</f>
        <v>112380913</v>
      </c>
      <c r="G7" s="68">
        <f t="shared" si="3"/>
        <v>133384</v>
      </c>
      <c r="H7" s="142">
        <f t="shared" si="4"/>
        <v>1.1883023277955633E-3</v>
      </c>
    </row>
    <row r="8" spans="1:9" x14ac:dyDescent="0.25">
      <c r="A8" s="67" t="s">
        <v>135</v>
      </c>
      <c r="B8" s="251">
        <v>2347144</v>
      </c>
      <c r="C8" s="62"/>
      <c r="D8" s="250">
        <v>-35667</v>
      </c>
      <c r="E8" s="251">
        <f t="shared" si="2"/>
        <v>2311477</v>
      </c>
      <c r="F8" s="308">
        <f>2347144-35667</f>
        <v>2311477</v>
      </c>
      <c r="G8" s="251">
        <f t="shared" si="3"/>
        <v>0</v>
      </c>
      <c r="H8" s="291">
        <f t="shared" si="4"/>
        <v>0</v>
      </c>
    </row>
    <row r="9" spans="1:9" x14ac:dyDescent="0.25">
      <c r="A9" s="252" t="s">
        <v>136</v>
      </c>
      <c r="B9" s="68">
        <v>1286986</v>
      </c>
      <c r="C9" s="62"/>
      <c r="D9" s="250">
        <v>-314530</v>
      </c>
      <c r="E9" s="68">
        <f t="shared" si="2"/>
        <v>972456</v>
      </c>
      <c r="F9" s="307">
        <f>1286986-314530</f>
        <v>972456</v>
      </c>
      <c r="G9" s="68">
        <f t="shared" si="3"/>
        <v>0</v>
      </c>
      <c r="H9" s="142">
        <f t="shared" si="4"/>
        <v>0</v>
      </c>
    </row>
    <row r="10" spans="1:9" x14ac:dyDescent="0.25">
      <c r="A10" s="252" t="s">
        <v>206</v>
      </c>
      <c r="B10" s="68"/>
      <c r="C10" s="62"/>
      <c r="D10" s="250">
        <f>1225744+8972</f>
        <v>1234716</v>
      </c>
      <c r="E10" s="68">
        <f t="shared" si="2"/>
        <v>1234716</v>
      </c>
      <c r="F10" s="307"/>
      <c r="G10" s="68">
        <f t="shared" si="3"/>
        <v>0</v>
      </c>
      <c r="H10" s="142" t="str">
        <f t="shared" si="4"/>
        <v/>
      </c>
    </row>
    <row r="11" spans="1:9" x14ac:dyDescent="0.25">
      <c r="A11" s="252" t="s">
        <v>296</v>
      </c>
      <c r="B11" s="68"/>
      <c r="C11" s="62"/>
      <c r="D11" s="250">
        <v>6625</v>
      </c>
      <c r="E11" s="68">
        <f t="shared" si="2"/>
        <v>6625</v>
      </c>
      <c r="F11" s="307"/>
      <c r="G11" s="68">
        <f t="shared" si="3"/>
        <v>0</v>
      </c>
      <c r="H11" s="142" t="str">
        <f t="shared" si="4"/>
        <v/>
      </c>
    </row>
    <row r="12" spans="1:9" x14ac:dyDescent="0.25">
      <c r="A12" s="253" t="s">
        <v>137</v>
      </c>
      <c r="B12" s="68"/>
      <c r="C12" s="62"/>
      <c r="D12" s="254">
        <v>18449</v>
      </c>
      <c r="E12" s="68">
        <f t="shared" si="2"/>
        <v>18449</v>
      </c>
      <c r="F12" s="307"/>
      <c r="G12" s="68">
        <f t="shared" si="3"/>
        <v>0</v>
      </c>
      <c r="H12" s="142" t="str">
        <f t="shared" si="4"/>
        <v/>
      </c>
    </row>
    <row r="13" spans="1:9" s="21" customFormat="1" x14ac:dyDescent="0.25">
      <c r="A13" s="252" t="s">
        <v>297</v>
      </c>
      <c r="B13" s="68">
        <v>244619</v>
      </c>
      <c r="C13" s="62"/>
      <c r="D13" s="254"/>
      <c r="E13" s="68">
        <f t="shared" si="2"/>
        <v>244619</v>
      </c>
      <c r="F13" s="307">
        <v>244619</v>
      </c>
      <c r="G13" s="68">
        <f t="shared" si="3"/>
        <v>0</v>
      </c>
      <c r="H13" s="142">
        <f t="shared" si="4"/>
        <v>0</v>
      </c>
    </row>
    <row r="14" spans="1:9" ht="22.8" x14ac:dyDescent="0.25">
      <c r="A14" s="67" t="s">
        <v>206</v>
      </c>
      <c r="B14" s="251">
        <v>1250000</v>
      </c>
      <c r="C14" s="62"/>
      <c r="D14" s="254"/>
      <c r="E14" s="251">
        <f t="shared" si="2"/>
        <v>1250000</v>
      </c>
      <c r="F14" s="307">
        <f>1538283+5979</f>
        <v>1544262</v>
      </c>
      <c r="G14" s="251">
        <f t="shared" si="3"/>
        <v>294262</v>
      </c>
      <c r="H14" s="291">
        <f t="shared" si="4"/>
        <v>0.2354096</v>
      </c>
    </row>
    <row r="15" spans="1:9" x14ac:dyDescent="0.25">
      <c r="A15" s="67" t="s">
        <v>298</v>
      </c>
      <c r="B15" s="251">
        <v>953466</v>
      </c>
      <c r="C15" s="62"/>
      <c r="D15" s="250">
        <v>-29647</v>
      </c>
      <c r="E15" s="251">
        <f t="shared" si="2"/>
        <v>923819</v>
      </c>
      <c r="F15" s="308">
        <v>923819</v>
      </c>
      <c r="G15" s="251">
        <f t="shared" si="3"/>
        <v>0</v>
      </c>
      <c r="H15" s="291">
        <f t="shared" si="4"/>
        <v>0</v>
      </c>
    </row>
    <row r="16" spans="1:9" x14ac:dyDescent="0.25">
      <c r="A16" s="252" t="s">
        <v>138</v>
      </c>
      <c r="B16" s="68">
        <v>464368</v>
      </c>
      <c r="C16" s="62"/>
      <c r="D16" s="250">
        <v>41893</v>
      </c>
      <c r="E16" s="68">
        <f t="shared" si="2"/>
        <v>506261</v>
      </c>
      <c r="F16" s="307">
        <v>506261</v>
      </c>
      <c r="G16" s="68">
        <f t="shared" si="3"/>
        <v>0</v>
      </c>
      <c r="H16" s="142">
        <f t="shared" si="4"/>
        <v>0</v>
      </c>
    </row>
    <row r="17" spans="1:8" s="62" customFormat="1" x14ac:dyDescent="0.25">
      <c r="A17" s="252" t="s">
        <v>299</v>
      </c>
      <c r="B17" s="68"/>
      <c r="D17" s="250">
        <v>5671100</v>
      </c>
      <c r="E17" s="68">
        <f t="shared" si="2"/>
        <v>5671100</v>
      </c>
      <c r="F17" s="307"/>
      <c r="G17" s="68">
        <f t="shared" si="3"/>
        <v>0</v>
      </c>
      <c r="H17" s="142" t="str">
        <f t="shared" si="4"/>
        <v/>
      </c>
    </row>
    <row r="18" spans="1:8" s="62" customFormat="1" x14ac:dyDescent="0.25">
      <c r="A18" s="252" t="s">
        <v>147</v>
      </c>
      <c r="B18" s="68">
        <v>19000000</v>
      </c>
      <c r="E18" s="68">
        <f t="shared" si="2"/>
        <v>19000000</v>
      </c>
      <c r="F18" s="307">
        <v>19000000</v>
      </c>
      <c r="G18" s="68">
        <f t="shared" si="3"/>
        <v>0</v>
      </c>
      <c r="H18" s="142">
        <f t="shared" si="4"/>
        <v>0</v>
      </c>
    </row>
    <row r="19" spans="1:8" s="62" customFormat="1" x14ac:dyDescent="0.25">
      <c r="A19" s="252" t="s">
        <v>300</v>
      </c>
      <c r="B19" s="68">
        <v>90382</v>
      </c>
      <c r="E19" s="68">
        <f t="shared" si="2"/>
        <v>90382</v>
      </c>
      <c r="F19" s="307">
        <v>86100</v>
      </c>
      <c r="G19" s="68">
        <f t="shared" si="3"/>
        <v>-4282</v>
      </c>
      <c r="H19" s="142">
        <f t="shared" si="4"/>
        <v>-4.737669004890354E-2</v>
      </c>
    </row>
    <row r="20" spans="1:8" x14ac:dyDescent="0.25">
      <c r="A20" s="255" t="s">
        <v>1</v>
      </c>
      <c r="B20" s="248">
        <f>SUM(B21:B25)</f>
        <v>11842853</v>
      </c>
      <c r="C20" s="19"/>
      <c r="D20" s="16">
        <f>SUM(D21:D28)</f>
        <v>1918961</v>
      </c>
      <c r="E20" s="248">
        <f t="shared" si="2"/>
        <v>13761814</v>
      </c>
      <c r="F20" s="306">
        <f t="shared" ref="F20" si="5">SUM(F21:F25)</f>
        <v>6692500</v>
      </c>
      <c r="G20" s="248">
        <f t="shared" si="3"/>
        <v>-7069314</v>
      </c>
      <c r="H20" s="290">
        <f t="shared" si="4"/>
        <v>-0.5136905643398465</v>
      </c>
    </row>
    <row r="21" spans="1:8" x14ac:dyDescent="0.25">
      <c r="A21" s="249" t="s">
        <v>69</v>
      </c>
      <c r="B21" s="68">
        <v>3550898</v>
      </c>
      <c r="C21" s="62"/>
      <c r="D21" s="250">
        <v>-58136</v>
      </c>
      <c r="E21" s="68">
        <f t="shared" si="2"/>
        <v>3492762</v>
      </c>
      <c r="F21" s="307">
        <v>3550898</v>
      </c>
      <c r="G21" s="68">
        <f t="shared" si="3"/>
        <v>58136</v>
      </c>
      <c r="H21" s="142">
        <f t="shared" si="4"/>
        <v>1.664470696829615E-2</v>
      </c>
    </row>
    <row r="22" spans="1:8" x14ac:dyDescent="0.25">
      <c r="A22" s="252" t="s">
        <v>85</v>
      </c>
      <c r="B22" s="68">
        <f>439321-63960</f>
        <v>375361</v>
      </c>
      <c r="C22" s="62"/>
      <c r="D22" s="250">
        <v>-663</v>
      </c>
      <c r="E22" s="68">
        <f t="shared" si="2"/>
        <v>374698</v>
      </c>
      <c r="F22" s="307">
        <v>374698</v>
      </c>
      <c r="G22" s="68">
        <f t="shared" si="3"/>
        <v>0</v>
      </c>
      <c r="H22" s="142">
        <f t="shared" si="4"/>
        <v>0</v>
      </c>
    </row>
    <row r="23" spans="1:8" x14ac:dyDescent="0.25">
      <c r="A23" s="252" t="s">
        <v>113</v>
      </c>
      <c r="B23" s="68">
        <v>6032060</v>
      </c>
      <c r="C23" s="62"/>
      <c r="D23" s="250"/>
      <c r="E23" s="68">
        <f t="shared" si="2"/>
        <v>6032060</v>
      </c>
      <c r="F23" s="307">
        <v>2766904</v>
      </c>
      <c r="G23" s="68">
        <f t="shared" si="3"/>
        <v>-3265156</v>
      </c>
      <c r="H23" s="142">
        <f t="shared" si="4"/>
        <v>-0.54130031863078287</v>
      </c>
    </row>
    <row r="24" spans="1:8" x14ac:dyDescent="0.25">
      <c r="A24" s="67" t="s">
        <v>177</v>
      </c>
      <c r="B24" s="251">
        <v>1050000</v>
      </c>
      <c r="C24" s="256"/>
      <c r="D24" s="250"/>
      <c r="E24" s="251">
        <f t="shared" si="2"/>
        <v>1050000</v>
      </c>
      <c r="F24" s="309"/>
      <c r="G24" s="251">
        <f t="shared" si="3"/>
        <v>0</v>
      </c>
      <c r="H24" s="291" t="str">
        <f t="shared" si="4"/>
        <v/>
      </c>
    </row>
    <row r="25" spans="1:8" x14ac:dyDescent="0.25">
      <c r="A25" s="67" t="s">
        <v>301</v>
      </c>
      <c r="B25" s="251">
        <v>834534</v>
      </c>
      <c r="C25" s="62"/>
      <c r="D25" s="250"/>
      <c r="E25" s="251">
        <f t="shared" si="2"/>
        <v>834534</v>
      </c>
      <c r="F25" s="309"/>
      <c r="G25" s="251">
        <f t="shared" si="3"/>
        <v>0</v>
      </c>
      <c r="H25" s="291" t="str">
        <f t="shared" si="4"/>
        <v/>
      </c>
    </row>
    <row r="26" spans="1:8" x14ac:dyDescent="0.25">
      <c r="A26" s="67" t="s">
        <v>302</v>
      </c>
      <c r="B26" s="251"/>
      <c r="C26" s="62"/>
      <c r="D26" s="250">
        <v>800000</v>
      </c>
      <c r="E26" s="251">
        <f t="shared" si="2"/>
        <v>800000</v>
      </c>
      <c r="F26" s="309"/>
      <c r="G26" s="251">
        <f t="shared" si="3"/>
        <v>0</v>
      </c>
      <c r="H26" s="291" t="str">
        <f t="shared" si="4"/>
        <v/>
      </c>
    </row>
    <row r="27" spans="1:8" x14ac:dyDescent="0.25">
      <c r="A27" s="67" t="s">
        <v>137</v>
      </c>
      <c r="B27" s="251"/>
      <c r="C27" s="62"/>
      <c r="D27" s="254">
        <f>133384+113376</f>
        <v>246760</v>
      </c>
      <c r="E27" s="251">
        <f t="shared" si="2"/>
        <v>246760</v>
      </c>
      <c r="F27" s="309"/>
      <c r="G27" s="251">
        <f t="shared" si="3"/>
        <v>0</v>
      </c>
      <c r="H27" s="291" t="str">
        <f t="shared" si="4"/>
        <v/>
      </c>
    </row>
    <row r="28" spans="1:8" x14ac:dyDescent="0.25">
      <c r="A28" s="67" t="s">
        <v>303</v>
      </c>
      <c r="B28" s="251"/>
      <c r="C28" s="62"/>
      <c r="D28" s="68">
        <v>931000</v>
      </c>
      <c r="E28" s="251">
        <f t="shared" si="2"/>
        <v>931000</v>
      </c>
      <c r="F28" s="309"/>
      <c r="G28" s="251">
        <f t="shared" si="3"/>
        <v>0</v>
      </c>
      <c r="H28" s="291" t="str">
        <f t="shared" si="4"/>
        <v/>
      </c>
    </row>
    <row r="29" spans="1:8" x14ac:dyDescent="0.25">
      <c r="A29" s="255" t="s">
        <v>304</v>
      </c>
      <c r="B29" s="251"/>
      <c r="C29" s="62"/>
      <c r="D29" s="68">
        <f>D30</f>
        <v>436299</v>
      </c>
      <c r="E29" s="251">
        <f t="shared" si="2"/>
        <v>436299</v>
      </c>
      <c r="F29" s="309"/>
      <c r="G29" s="251">
        <f t="shared" si="3"/>
        <v>0</v>
      </c>
      <c r="H29" s="291" t="str">
        <f t="shared" si="4"/>
        <v/>
      </c>
    </row>
    <row r="30" spans="1:8" ht="22.8" x14ac:dyDescent="0.25">
      <c r="A30" s="67" t="s">
        <v>305</v>
      </c>
      <c r="B30" s="251"/>
      <c r="C30" s="62"/>
      <c r="D30" s="250">
        <v>436299</v>
      </c>
      <c r="E30" s="251">
        <f t="shared" si="2"/>
        <v>436299</v>
      </c>
      <c r="F30" s="309"/>
      <c r="G30" s="251">
        <f t="shared" si="3"/>
        <v>0</v>
      </c>
      <c r="H30" s="291" t="str">
        <f t="shared" si="4"/>
        <v/>
      </c>
    </row>
    <row r="31" spans="1:8" x14ac:dyDescent="0.25">
      <c r="A31" s="255"/>
      <c r="B31" s="248"/>
      <c r="C31" s="62"/>
      <c r="D31" s="62"/>
      <c r="E31" s="248">
        <f t="shared" si="2"/>
        <v>0</v>
      </c>
      <c r="F31" s="309"/>
      <c r="G31" s="248">
        <f t="shared" si="3"/>
        <v>0</v>
      </c>
      <c r="H31" s="290" t="str">
        <f t="shared" si="4"/>
        <v/>
      </c>
    </row>
    <row r="32" spans="1:8" x14ac:dyDescent="0.25">
      <c r="A32" s="245" t="s">
        <v>306</v>
      </c>
      <c r="B32" s="246">
        <f>B33</f>
        <v>9223</v>
      </c>
      <c r="C32" s="62"/>
      <c r="D32" s="62"/>
      <c r="E32" s="246">
        <f t="shared" si="2"/>
        <v>9223</v>
      </c>
      <c r="F32" s="309"/>
      <c r="G32" s="246">
        <f t="shared" si="3"/>
        <v>0</v>
      </c>
      <c r="H32" s="289" t="str">
        <f t="shared" si="4"/>
        <v/>
      </c>
    </row>
    <row r="33" spans="1:8" x14ac:dyDescent="0.25">
      <c r="A33" s="255" t="s">
        <v>148</v>
      </c>
      <c r="B33" s="248">
        <f>+B38+B35</f>
        <v>9223</v>
      </c>
      <c r="C33" s="62"/>
      <c r="D33" s="62"/>
      <c r="E33" s="248">
        <f t="shared" si="2"/>
        <v>9223</v>
      </c>
      <c r="F33" s="309"/>
      <c r="G33" s="248">
        <f t="shared" si="3"/>
        <v>0</v>
      </c>
      <c r="H33" s="290" t="str">
        <f t="shared" si="4"/>
        <v/>
      </c>
    </row>
    <row r="34" spans="1:8" x14ac:dyDescent="0.25">
      <c r="A34" s="247"/>
      <c r="B34" s="248"/>
      <c r="C34" s="62"/>
      <c r="D34" s="62"/>
      <c r="E34" s="248">
        <f t="shared" si="2"/>
        <v>0</v>
      </c>
      <c r="F34" s="309"/>
      <c r="G34" s="248">
        <f t="shared" si="3"/>
        <v>0</v>
      </c>
      <c r="H34" s="290" t="str">
        <f t="shared" si="4"/>
        <v/>
      </c>
    </row>
    <row r="35" spans="1:8" x14ac:dyDescent="0.25">
      <c r="A35" s="257" t="s">
        <v>128</v>
      </c>
      <c r="B35" s="259">
        <f>SUM(B36)</f>
        <v>4393</v>
      </c>
      <c r="C35" s="62"/>
      <c r="D35" s="62"/>
      <c r="E35" s="259">
        <f t="shared" si="2"/>
        <v>4393</v>
      </c>
      <c r="F35" s="309"/>
      <c r="G35" s="259">
        <f t="shared" si="3"/>
        <v>0</v>
      </c>
      <c r="H35" s="292" t="str">
        <f t="shared" si="4"/>
        <v/>
      </c>
    </row>
    <row r="36" spans="1:8" ht="22.8" x14ac:dyDescent="0.25">
      <c r="A36" s="258" t="s">
        <v>110</v>
      </c>
      <c r="B36" s="251">
        <v>4393</v>
      </c>
      <c r="C36" s="62"/>
      <c r="D36" s="62"/>
      <c r="E36" s="251">
        <f t="shared" si="2"/>
        <v>4393</v>
      </c>
      <c r="F36" s="309"/>
      <c r="G36" s="251">
        <f t="shared" si="3"/>
        <v>0</v>
      </c>
      <c r="H36" s="291" t="str">
        <f t="shared" si="4"/>
        <v/>
      </c>
    </row>
    <row r="37" spans="1:8" x14ac:dyDescent="0.25">
      <c r="A37" s="247"/>
      <c r="B37" s="248"/>
      <c r="C37" s="62"/>
      <c r="D37" s="62"/>
      <c r="E37" s="248">
        <f t="shared" si="2"/>
        <v>0</v>
      </c>
      <c r="F37" s="309"/>
      <c r="G37" s="248">
        <f t="shared" si="3"/>
        <v>0</v>
      </c>
      <c r="H37" s="290" t="str">
        <f t="shared" si="4"/>
        <v/>
      </c>
    </row>
    <row r="38" spans="1:8" x14ac:dyDescent="0.25">
      <c r="A38" s="257" t="s">
        <v>129</v>
      </c>
      <c r="B38" s="259">
        <f>B39</f>
        <v>4830</v>
      </c>
      <c r="C38" s="62"/>
      <c r="D38" s="62"/>
      <c r="E38" s="259">
        <f t="shared" si="2"/>
        <v>4830</v>
      </c>
      <c r="F38" s="309"/>
      <c r="G38" s="259">
        <f t="shared" si="3"/>
        <v>0</v>
      </c>
      <c r="H38" s="292" t="str">
        <f t="shared" si="4"/>
        <v/>
      </c>
    </row>
    <row r="39" spans="1:8" ht="23.4" x14ac:dyDescent="0.25">
      <c r="A39" s="260" t="s">
        <v>182</v>
      </c>
      <c r="B39" s="261">
        <v>4830</v>
      </c>
      <c r="C39" s="62"/>
      <c r="D39" s="62"/>
      <c r="E39" s="261">
        <f t="shared" si="2"/>
        <v>4830</v>
      </c>
      <c r="F39" s="309"/>
      <c r="G39" s="261">
        <f t="shared" si="3"/>
        <v>0</v>
      </c>
      <c r="H39" s="293" t="str">
        <f t="shared" si="4"/>
        <v/>
      </c>
    </row>
    <row r="40" spans="1:8" x14ac:dyDescent="0.25">
      <c r="A40" s="262"/>
      <c r="B40" s="263"/>
      <c r="C40" s="62"/>
      <c r="D40" s="62"/>
      <c r="E40" s="263">
        <f t="shared" si="2"/>
        <v>0</v>
      </c>
      <c r="F40" s="309"/>
      <c r="G40" s="263">
        <f t="shared" si="3"/>
        <v>0</v>
      </c>
      <c r="H40" s="294" t="str">
        <f t="shared" si="4"/>
        <v/>
      </c>
    </row>
    <row r="41" spans="1:8" x14ac:dyDescent="0.25">
      <c r="A41" s="245" t="s">
        <v>2</v>
      </c>
      <c r="B41" s="246">
        <f>B42+B86</f>
        <v>23913124</v>
      </c>
      <c r="C41" s="246">
        <f>C42+C86</f>
        <v>0</v>
      </c>
      <c r="D41" s="246">
        <f>D42+D86</f>
        <v>-360558</v>
      </c>
      <c r="E41" s="246">
        <f t="shared" si="2"/>
        <v>23552566</v>
      </c>
      <c r="F41" s="305">
        <f>F42+F86</f>
        <v>14302477</v>
      </c>
      <c r="G41" s="246">
        <f t="shared" si="3"/>
        <v>-9250089</v>
      </c>
      <c r="H41" s="289">
        <f t="shared" si="4"/>
        <v>-0.39274230247353942</v>
      </c>
    </row>
    <row r="42" spans="1:8" x14ac:dyDescent="0.25">
      <c r="A42" s="213" t="s">
        <v>4</v>
      </c>
      <c r="B42" s="264">
        <f>+B44+B65+B70+B79+B83+B61</f>
        <v>4287923</v>
      </c>
      <c r="C42" s="264">
        <f>+C44+C65+C70+C79+C83+C61</f>
        <v>0</v>
      </c>
      <c r="D42" s="264">
        <f>+D44+D65+D70+D79+D83+D61</f>
        <v>956919</v>
      </c>
      <c r="E42" s="264">
        <f t="shared" si="2"/>
        <v>5244842</v>
      </c>
      <c r="F42" s="310">
        <f>+F44+F65+F70+F79+F83+F61</f>
        <v>1486626</v>
      </c>
      <c r="G42" s="264">
        <f t="shared" si="3"/>
        <v>-3758216</v>
      </c>
      <c r="H42" s="295">
        <f t="shared" si="4"/>
        <v>-0.71655466456377526</v>
      </c>
    </row>
    <row r="43" spans="1:8" x14ac:dyDescent="0.25">
      <c r="A43" s="265"/>
      <c r="B43" s="68"/>
      <c r="C43" s="62"/>
      <c r="D43" s="62"/>
      <c r="E43" s="68">
        <f t="shared" si="2"/>
        <v>0</v>
      </c>
      <c r="F43" s="309"/>
      <c r="G43" s="68">
        <f t="shared" si="3"/>
        <v>0</v>
      </c>
      <c r="H43" s="142" t="str">
        <f t="shared" si="4"/>
        <v/>
      </c>
    </row>
    <row r="44" spans="1:8" x14ac:dyDescent="0.25">
      <c r="A44" s="257" t="s">
        <v>175</v>
      </c>
      <c r="B44" s="259">
        <f>SUM(B45:B59)</f>
        <v>1559256</v>
      </c>
      <c r="C44" s="62"/>
      <c r="D44" s="259">
        <f>SUM(D45:D59)</f>
        <v>488804</v>
      </c>
      <c r="E44" s="259">
        <f t="shared" si="2"/>
        <v>2048060</v>
      </c>
      <c r="F44" s="311">
        <f>SUM(F45:F60)</f>
        <v>1043192</v>
      </c>
      <c r="G44" s="259">
        <f t="shared" si="3"/>
        <v>-1004868</v>
      </c>
      <c r="H44" s="292">
        <f t="shared" si="4"/>
        <v>-0.49064382879407831</v>
      </c>
    </row>
    <row r="45" spans="1:8" x14ac:dyDescent="0.25">
      <c r="A45" s="266" t="s">
        <v>149</v>
      </c>
      <c r="B45" s="267">
        <v>278735</v>
      </c>
      <c r="C45" s="62"/>
      <c r="D45" s="250">
        <v>14553</v>
      </c>
      <c r="E45" s="267">
        <f t="shared" si="2"/>
        <v>293288</v>
      </c>
      <c r="F45" s="312"/>
      <c r="G45" s="267">
        <f t="shared" si="3"/>
        <v>0</v>
      </c>
      <c r="H45" s="296" t="str">
        <f t="shared" si="4"/>
        <v/>
      </c>
    </row>
    <row r="46" spans="1:8" ht="22.8" x14ac:dyDescent="0.25">
      <c r="A46" s="268" t="s">
        <v>150</v>
      </c>
      <c r="B46" s="269">
        <v>15700</v>
      </c>
      <c r="C46" s="62"/>
      <c r="D46" s="62"/>
      <c r="E46" s="269">
        <f t="shared" si="2"/>
        <v>15700</v>
      </c>
      <c r="F46" s="312">
        <v>15750</v>
      </c>
      <c r="G46" s="269">
        <f t="shared" si="3"/>
        <v>50</v>
      </c>
      <c r="H46" s="297">
        <f t="shared" si="4"/>
        <v>3.1847133757961785E-3</v>
      </c>
    </row>
    <row r="47" spans="1:8" x14ac:dyDescent="0.25">
      <c r="A47" s="270" t="s">
        <v>151</v>
      </c>
      <c r="B47" s="271">
        <v>112312</v>
      </c>
      <c r="C47" s="62"/>
      <c r="D47" s="250">
        <v>15516</v>
      </c>
      <c r="E47" s="271">
        <f t="shared" si="2"/>
        <v>127828</v>
      </c>
      <c r="F47" s="312">
        <v>83562</v>
      </c>
      <c r="G47" s="271">
        <f t="shared" si="3"/>
        <v>-44266</v>
      </c>
      <c r="H47" s="298">
        <f t="shared" si="4"/>
        <v>-0.34629345683261881</v>
      </c>
    </row>
    <row r="48" spans="1:8" x14ac:dyDescent="0.25">
      <c r="A48" s="270" t="s">
        <v>152</v>
      </c>
      <c r="B48" s="271">
        <v>6806</v>
      </c>
      <c r="C48" s="62"/>
      <c r="D48" s="62"/>
      <c r="E48" s="271">
        <f t="shared" si="2"/>
        <v>6806</v>
      </c>
      <c r="F48" s="312"/>
      <c r="G48" s="271">
        <f t="shared" si="3"/>
        <v>0</v>
      </c>
      <c r="H48" s="298" t="str">
        <f t="shared" si="4"/>
        <v/>
      </c>
    </row>
    <row r="49" spans="1:8" x14ac:dyDescent="0.25">
      <c r="A49" s="265" t="s">
        <v>153</v>
      </c>
      <c r="B49" s="68">
        <v>25000</v>
      </c>
      <c r="C49" s="62"/>
      <c r="D49" s="250">
        <v>328</v>
      </c>
      <c r="E49" s="68">
        <f t="shared" si="2"/>
        <v>25328</v>
      </c>
      <c r="F49" s="312">
        <v>10876</v>
      </c>
      <c r="G49" s="68">
        <f t="shared" si="3"/>
        <v>-14452</v>
      </c>
      <c r="H49" s="142">
        <f t="shared" si="4"/>
        <v>-0.5705938092229943</v>
      </c>
    </row>
    <row r="50" spans="1:8" x14ac:dyDescent="0.25">
      <c r="A50" s="258" t="s">
        <v>158</v>
      </c>
      <c r="B50" s="251">
        <v>177418</v>
      </c>
      <c r="C50" s="62"/>
      <c r="D50" s="62"/>
      <c r="E50" s="251">
        <f t="shared" si="2"/>
        <v>177418</v>
      </c>
      <c r="F50" s="312"/>
      <c r="G50" s="251">
        <f t="shared" si="3"/>
        <v>0</v>
      </c>
      <c r="H50" s="291" t="str">
        <f t="shared" si="4"/>
        <v/>
      </c>
    </row>
    <row r="51" spans="1:8" ht="22.8" x14ac:dyDescent="0.25">
      <c r="A51" s="258" t="s">
        <v>201</v>
      </c>
      <c r="B51" s="251">
        <v>658372</v>
      </c>
      <c r="C51" s="62"/>
      <c r="D51" s="62"/>
      <c r="E51" s="251">
        <f t="shared" si="2"/>
        <v>658372</v>
      </c>
      <c r="F51" s="312">
        <v>450279</v>
      </c>
      <c r="G51" s="251">
        <f t="shared" si="3"/>
        <v>-208093</v>
      </c>
      <c r="H51" s="291">
        <f t="shared" si="4"/>
        <v>-0.31607206867849785</v>
      </c>
    </row>
    <row r="52" spans="1:8" ht="22.8" x14ac:dyDescent="0.25">
      <c r="A52" s="258" t="s">
        <v>202</v>
      </c>
      <c r="B52" s="251">
        <v>142500</v>
      </c>
      <c r="C52" s="62"/>
      <c r="D52" s="62"/>
      <c r="E52" s="251">
        <f t="shared" si="2"/>
        <v>142500</v>
      </c>
      <c r="F52" s="312">
        <v>98000</v>
      </c>
      <c r="G52" s="251">
        <f t="shared" si="3"/>
        <v>-44500</v>
      </c>
      <c r="H52" s="291">
        <f t="shared" si="4"/>
        <v>-0.31228070175438599</v>
      </c>
    </row>
    <row r="53" spans="1:8" x14ac:dyDescent="0.25">
      <c r="A53" s="258" t="s">
        <v>203</v>
      </c>
      <c r="B53" s="251">
        <v>67600</v>
      </c>
      <c r="C53" s="62"/>
      <c r="D53" s="62"/>
      <c r="E53" s="251">
        <f t="shared" si="2"/>
        <v>67600</v>
      </c>
      <c r="F53" s="312">
        <v>11500</v>
      </c>
      <c r="G53" s="251">
        <f t="shared" si="3"/>
        <v>-56100</v>
      </c>
      <c r="H53" s="291">
        <f t="shared" si="4"/>
        <v>-0.82988165680473369</v>
      </c>
    </row>
    <row r="54" spans="1:8" x14ac:dyDescent="0.25">
      <c r="A54" s="258" t="s">
        <v>307</v>
      </c>
      <c r="B54" s="251">
        <v>74813</v>
      </c>
      <c r="C54" s="62"/>
      <c r="D54" s="62"/>
      <c r="E54" s="251">
        <f t="shared" si="2"/>
        <v>74813</v>
      </c>
      <c r="F54" s="312"/>
      <c r="G54" s="251">
        <f t="shared" si="3"/>
        <v>0</v>
      </c>
      <c r="H54" s="291" t="str">
        <f t="shared" si="4"/>
        <v/>
      </c>
    </row>
    <row r="55" spans="1:8" x14ac:dyDescent="0.25">
      <c r="A55" s="265" t="s">
        <v>308</v>
      </c>
      <c r="B55" s="251"/>
      <c r="C55" s="62"/>
      <c r="D55" s="250">
        <v>150994</v>
      </c>
      <c r="E55" s="251">
        <f t="shared" si="2"/>
        <v>150994</v>
      </c>
      <c r="F55" s="312"/>
      <c r="G55" s="251">
        <f t="shared" si="3"/>
        <v>0</v>
      </c>
      <c r="H55" s="291" t="str">
        <f t="shared" si="4"/>
        <v/>
      </c>
    </row>
    <row r="56" spans="1:8" x14ac:dyDescent="0.25">
      <c r="A56" s="265" t="s">
        <v>309</v>
      </c>
      <c r="B56" s="251"/>
      <c r="C56" s="62"/>
      <c r="D56" s="250">
        <v>300000</v>
      </c>
      <c r="E56" s="251">
        <f t="shared" si="2"/>
        <v>300000</v>
      </c>
      <c r="F56" s="312">
        <v>300000</v>
      </c>
      <c r="G56" s="251">
        <f t="shared" si="3"/>
        <v>0</v>
      </c>
      <c r="H56" s="291">
        <f t="shared" si="4"/>
        <v>0</v>
      </c>
    </row>
    <row r="57" spans="1:8" x14ac:dyDescent="0.25">
      <c r="A57" s="265" t="s">
        <v>310</v>
      </c>
      <c r="B57" s="251"/>
      <c r="C57" s="62"/>
      <c r="D57" s="250">
        <v>7413</v>
      </c>
      <c r="E57" s="251">
        <f t="shared" si="2"/>
        <v>7413</v>
      </c>
      <c r="F57" s="312">
        <v>13225</v>
      </c>
      <c r="G57" s="251">
        <f t="shared" si="3"/>
        <v>5812</v>
      </c>
      <c r="H57" s="291">
        <f t="shared" si="4"/>
        <v>0.78402805881559423</v>
      </c>
    </row>
    <row r="58" spans="1:8" ht="22.8" x14ac:dyDescent="0.25">
      <c r="A58" s="258" t="s">
        <v>320</v>
      </c>
      <c r="B58" s="251"/>
      <c r="C58" s="62"/>
      <c r="D58" s="62"/>
      <c r="E58" s="251">
        <f t="shared" si="2"/>
        <v>0</v>
      </c>
      <c r="F58" s="312">
        <v>60000</v>
      </c>
      <c r="G58" s="251">
        <f t="shared" si="3"/>
        <v>60000</v>
      </c>
      <c r="H58" s="291" t="e">
        <f t="shared" si="4"/>
        <v>#DIV/0!</v>
      </c>
    </row>
    <row r="59" spans="1:8" x14ac:dyDescent="0.25">
      <c r="A59" s="258" t="s">
        <v>309</v>
      </c>
      <c r="B59" s="259"/>
      <c r="C59" s="62"/>
      <c r="D59" s="62"/>
      <c r="E59" s="251">
        <f t="shared" si="2"/>
        <v>0</v>
      </c>
      <c r="F59" s="313"/>
      <c r="G59" s="259">
        <f t="shared" si="3"/>
        <v>0</v>
      </c>
      <c r="H59" s="292" t="str">
        <f t="shared" si="4"/>
        <v/>
      </c>
    </row>
    <row r="60" spans="1:8" x14ac:dyDescent="0.25">
      <c r="A60" s="272"/>
      <c r="B60" s="259"/>
      <c r="C60" s="62"/>
      <c r="D60" s="62"/>
      <c r="E60" s="259"/>
      <c r="F60" s="309"/>
      <c r="G60" s="259">
        <f t="shared" si="3"/>
        <v>0</v>
      </c>
      <c r="H60" s="292" t="str">
        <f t="shared" si="4"/>
        <v/>
      </c>
    </row>
    <row r="61" spans="1:8" x14ac:dyDescent="0.25">
      <c r="A61" s="257" t="s">
        <v>47</v>
      </c>
      <c r="B61" s="259">
        <f>B62</f>
        <v>58515</v>
      </c>
      <c r="C61" s="62"/>
      <c r="D61" s="259">
        <f>D62+D63</f>
        <v>104546</v>
      </c>
      <c r="E61" s="259">
        <f t="shared" si="2"/>
        <v>163061</v>
      </c>
      <c r="F61" s="314">
        <f t="shared" ref="F61" si="6">F62</f>
        <v>58516</v>
      </c>
      <c r="G61" s="259">
        <f t="shared" si="3"/>
        <v>-104545</v>
      </c>
      <c r="H61" s="292">
        <f t="shared" si="4"/>
        <v>-0.64114043210822946</v>
      </c>
    </row>
    <row r="62" spans="1:8" x14ac:dyDescent="0.25">
      <c r="A62" s="273" t="s">
        <v>311</v>
      </c>
      <c r="B62" s="274">
        <v>58515</v>
      </c>
      <c r="C62" s="62"/>
      <c r="D62" s="62"/>
      <c r="E62" s="274">
        <f t="shared" si="2"/>
        <v>58515</v>
      </c>
      <c r="F62" s="315">
        <v>58516</v>
      </c>
      <c r="G62" s="274">
        <f t="shared" si="3"/>
        <v>1</v>
      </c>
      <c r="H62" s="142">
        <f t="shared" si="4"/>
        <v>1.708963513628984E-5</v>
      </c>
    </row>
    <row r="63" spans="1:8" x14ac:dyDescent="0.25">
      <c r="A63" s="273" t="s">
        <v>127</v>
      </c>
      <c r="B63" s="274"/>
      <c r="C63" s="62"/>
      <c r="D63" s="275">
        <v>104546</v>
      </c>
      <c r="E63" s="274">
        <f t="shared" si="2"/>
        <v>104546</v>
      </c>
      <c r="F63" s="315"/>
      <c r="G63" s="274">
        <f t="shared" si="3"/>
        <v>0</v>
      </c>
      <c r="H63" s="142" t="str">
        <f t="shared" si="4"/>
        <v/>
      </c>
    </row>
    <row r="64" spans="1:8" x14ac:dyDescent="0.25">
      <c r="A64" s="265"/>
      <c r="B64" s="68"/>
      <c r="C64" s="62"/>
      <c r="D64" s="62"/>
      <c r="E64" s="68">
        <f t="shared" si="2"/>
        <v>0</v>
      </c>
      <c r="F64" s="309"/>
      <c r="G64" s="68">
        <f t="shared" si="3"/>
        <v>0</v>
      </c>
      <c r="H64" s="142" t="str">
        <f t="shared" si="4"/>
        <v/>
      </c>
    </row>
    <row r="65" spans="1:8" x14ac:dyDescent="0.25">
      <c r="A65" s="257" t="s">
        <v>77</v>
      </c>
      <c r="B65" s="259">
        <f>SUM(B66:B69)</f>
        <v>444200</v>
      </c>
      <c r="C65" s="62"/>
      <c r="D65" s="62"/>
      <c r="E65" s="259">
        <f t="shared" si="2"/>
        <v>444200</v>
      </c>
      <c r="F65" s="314">
        <f t="shared" ref="F65" si="7">SUM(F66:F69)</f>
        <v>196629</v>
      </c>
      <c r="G65" s="259">
        <f t="shared" si="3"/>
        <v>-247571</v>
      </c>
      <c r="H65" s="292">
        <f t="shared" si="4"/>
        <v>-0.55734128770823954</v>
      </c>
    </row>
    <row r="66" spans="1:8" x14ac:dyDescent="0.25">
      <c r="A66" s="276" t="s">
        <v>111</v>
      </c>
      <c r="B66" s="277">
        <v>376375</v>
      </c>
      <c r="C66" s="62"/>
      <c r="D66" s="62"/>
      <c r="E66" s="277">
        <f t="shared" si="2"/>
        <v>376375</v>
      </c>
      <c r="F66" s="312">
        <v>196629</v>
      </c>
      <c r="G66" s="277">
        <f t="shared" si="3"/>
        <v>-179746</v>
      </c>
      <c r="H66" s="291">
        <f t="shared" si="4"/>
        <v>-0.47757157090667551</v>
      </c>
    </row>
    <row r="67" spans="1:8" x14ac:dyDescent="0.25">
      <c r="A67" s="276" t="s">
        <v>154</v>
      </c>
      <c r="B67" s="277">
        <v>1657</v>
      </c>
      <c r="C67" s="62"/>
      <c r="D67" s="62"/>
      <c r="E67" s="277">
        <f t="shared" si="2"/>
        <v>1657</v>
      </c>
      <c r="F67" s="312"/>
      <c r="G67" s="277">
        <f t="shared" si="3"/>
        <v>0</v>
      </c>
      <c r="H67" s="291" t="str">
        <f t="shared" si="4"/>
        <v/>
      </c>
    </row>
    <row r="68" spans="1:8" x14ac:dyDescent="0.25">
      <c r="A68" s="276" t="s">
        <v>155</v>
      </c>
      <c r="B68" s="277">
        <v>66168</v>
      </c>
      <c r="C68" s="62"/>
      <c r="D68" s="62"/>
      <c r="E68" s="277">
        <f t="shared" si="2"/>
        <v>66168</v>
      </c>
      <c r="F68" s="312"/>
      <c r="G68" s="277">
        <f t="shared" si="3"/>
        <v>0</v>
      </c>
      <c r="H68" s="291" t="str">
        <f t="shared" si="4"/>
        <v/>
      </c>
    </row>
    <row r="69" spans="1:8" x14ac:dyDescent="0.25">
      <c r="A69" s="276"/>
      <c r="B69" s="277"/>
      <c r="C69" s="62"/>
      <c r="D69" s="62"/>
      <c r="E69" s="277">
        <f t="shared" si="2"/>
        <v>0</v>
      </c>
      <c r="F69" s="309"/>
      <c r="G69" s="277">
        <f t="shared" si="3"/>
        <v>0</v>
      </c>
      <c r="H69" s="291" t="str">
        <f t="shared" si="4"/>
        <v/>
      </c>
    </row>
    <row r="70" spans="1:8" x14ac:dyDescent="0.25">
      <c r="A70" s="257" t="s">
        <v>34</v>
      </c>
      <c r="B70" s="259">
        <f>SUM(B71:B77)</f>
        <v>2152276</v>
      </c>
      <c r="C70" s="259">
        <f t="shared" ref="C70:D70" si="8">SUM(C71:C77)</f>
        <v>0</v>
      </c>
      <c r="D70" s="259">
        <f t="shared" si="8"/>
        <v>363569</v>
      </c>
      <c r="E70" s="259">
        <f t="shared" ref="E70:E114" si="9">SUM(B70:D70)</f>
        <v>2515845</v>
      </c>
      <c r="F70" s="314">
        <f>SUM(F71:F77)</f>
        <v>173289</v>
      </c>
      <c r="G70" s="259">
        <f t="shared" ref="G70:G115" si="10">IF(F70=0,0,F70-E70)</f>
        <v>-2342556</v>
      </c>
      <c r="H70" s="292">
        <f t="shared" ref="H70:H115" si="11">IF(F70=0,"",G70/E70)</f>
        <v>-0.93112095538477135</v>
      </c>
    </row>
    <row r="71" spans="1:8" x14ac:dyDescent="0.25">
      <c r="A71" s="258" t="s">
        <v>156</v>
      </c>
      <c r="B71" s="251">
        <v>87208</v>
      </c>
      <c r="C71" s="62"/>
      <c r="D71" s="62"/>
      <c r="E71" s="251">
        <f t="shared" si="9"/>
        <v>87208</v>
      </c>
      <c r="F71" s="312">
        <v>76209</v>
      </c>
      <c r="G71" s="251">
        <f t="shared" si="10"/>
        <v>-10999</v>
      </c>
      <c r="H71" s="291">
        <f t="shared" si="11"/>
        <v>-0.12612375011466839</v>
      </c>
    </row>
    <row r="72" spans="1:8" x14ac:dyDescent="0.25">
      <c r="A72" s="265" t="s">
        <v>157</v>
      </c>
      <c r="B72" s="68">
        <v>2076</v>
      </c>
      <c r="C72" s="62"/>
      <c r="D72" s="62"/>
      <c r="E72" s="68">
        <f t="shared" si="9"/>
        <v>2076</v>
      </c>
      <c r="F72" s="316"/>
      <c r="G72" s="68">
        <f t="shared" si="10"/>
        <v>0</v>
      </c>
      <c r="H72" s="142" t="str">
        <f t="shared" si="11"/>
        <v/>
      </c>
    </row>
    <row r="73" spans="1:8" x14ac:dyDescent="0.25">
      <c r="A73" s="265" t="s">
        <v>173</v>
      </c>
      <c r="B73" s="68">
        <v>2000000</v>
      </c>
      <c r="C73" s="62"/>
      <c r="D73" s="62"/>
      <c r="E73" s="68">
        <f t="shared" si="9"/>
        <v>2000000</v>
      </c>
      <c r="F73" s="316"/>
      <c r="G73" s="68">
        <f t="shared" si="10"/>
        <v>0</v>
      </c>
      <c r="H73" s="142" t="str">
        <f t="shared" si="11"/>
        <v/>
      </c>
    </row>
    <row r="74" spans="1:8" ht="22.8" x14ac:dyDescent="0.25">
      <c r="A74" s="258" t="s">
        <v>198</v>
      </c>
      <c r="B74" s="251">
        <v>62992</v>
      </c>
      <c r="C74" s="62"/>
      <c r="D74" s="62"/>
      <c r="E74" s="251">
        <f t="shared" si="9"/>
        <v>62992</v>
      </c>
      <c r="F74" s="312">
        <v>22080</v>
      </c>
      <c r="G74" s="251">
        <f t="shared" si="10"/>
        <v>-40912</v>
      </c>
      <c r="H74" s="291">
        <f t="shared" si="11"/>
        <v>-0.64947929895859791</v>
      </c>
    </row>
    <row r="75" spans="1:8" ht="22.8" x14ac:dyDescent="0.25">
      <c r="A75" s="258" t="s">
        <v>104</v>
      </c>
      <c r="B75" s="251"/>
      <c r="C75" s="62"/>
      <c r="D75" s="62">
        <v>286949</v>
      </c>
      <c r="E75" s="251">
        <f t="shared" si="9"/>
        <v>286949</v>
      </c>
      <c r="F75" s="312"/>
      <c r="G75" s="251">
        <f t="shared" si="10"/>
        <v>0</v>
      </c>
      <c r="H75" s="291" t="str">
        <f t="shared" si="11"/>
        <v/>
      </c>
    </row>
    <row r="76" spans="1:8" x14ac:dyDescent="0.25">
      <c r="A76" s="258" t="s">
        <v>146</v>
      </c>
      <c r="B76" s="251"/>
      <c r="C76" s="62"/>
      <c r="D76" s="62">
        <v>1620</v>
      </c>
      <c r="E76" s="251">
        <f t="shared" si="9"/>
        <v>1620</v>
      </c>
      <c r="F76" s="312"/>
      <c r="G76" s="251">
        <f t="shared" si="10"/>
        <v>0</v>
      </c>
      <c r="H76" s="291" t="str">
        <f t="shared" si="11"/>
        <v/>
      </c>
    </row>
    <row r="77" spans="1:8" ht="22.8" x14ac:dyDescent="0.25">
      <c r="A77" s="258" t="s">
        <v>312</v>
      </c>
      <c r="B77" s="251"/>
      <c r="C77" s="62"/>
      <c r="D77" s="62">
        <v>75000</v>
      </c>
      <c r="E77" s="251">
        <f t="shared" si="9"/>
        <v>75000</v>
      </c>
      <c r="F77" s="312">
        <v>75000</v>
      </c>
      <c r="G77" s="251">
        <f t="shared" si="10"/>
        <v>0</v>
      </c>
      <c r="H77" s="291">
        <f t="shared" si="11"/>
        <v>0</v>
      </c>
    </row>
    <row r="78" spans="1:8" x14ac:dyDescent="0.25">
      <c r="A78" s="258"/>
      <c r="B78" s="251"/>
      <c r="C78" s="62"/>
      <c r="D78" s="62"/>
      <c r="E78" s="251">
        <f t="shared" si="9"/>
        <v>0</v>
      </c>
      <c r="F78" s="309"/>
      <c r="G78" s="251">
        <f t="shared" si="10"/>
        <v>0</v>
      </c>
      <c r="H78" s="291" t="str">
        <f t="shared" si="11"/>
        <v/>
      </c>
    </row>
    <row r="79" spans="1:8" x14ac:dyDescent="0.25">
      <c r="A79" s="257" t="s">
        <v>128</v>
      </c>
      <c r="B79" s="259">
        <f>SUM(B80:B81)</f>
        <v>46306</v>
      </c>
      <c r="C79" s="62"/>
      <c r="D79" s="62"/>
      <c r="E79" s="259">
        <f t="shared" si="9"/>
        <v>46306</v>
      </c>
      <c r="F79" s="314">
        <f t="shared" ref="F79" si="12">SUM(F80:F81)</f>
        <v>15000</v>
      </c>
      <c r="G79" s="259">
        <f t="shared" si="10"/>
        <v>-31306</v>
      </c>
      <c r="H79" s="292">
        <f t="shared" si="11"/>
        <v>-0.67606789616896301</v>
      </c>
    </row>
    <row r="80" spans="1:8" ht="22.8" x14ac:dyDescent="0.25">
      <c r="A80" s="258" t="s">
        <v>110</v>
      </c>
      <c r="B80" s="251">
        <v>31126</v>
      </c>
      <c r="C80" s="62"/>
      <c r="D80" s="62"/>
      <c r="E80" s="251">
        <f t="shared" si="9"/>
        <v>31126</v>
      </c>
      <c r="F80" s="309"/>
      <c r="G80" s="251">
        <f t="shared" si="10"/>
        <v>0</v>
      </c>
      <c r="H80" s="291" t="str">
        <f t="shared" si="11"/>
        <v/>
      </c>
    </row>
    <row r="81" spans="1:8" x14ac:dyDescent="0.25">
      <c r="A81" s="265" t="s">
        <v>112</v>
      </c>
      <c r="B81" s="68">
        <v>15180</v>
      </c>
      <c r="C81" s="62"/>
      <c r="D81" s="62"/>
      <c r="E81" s="68">
        <f t="shared" si="9"/>
        <v>15180</v>
      </c>
      <c r="F81" s="315">
        <v>15000</v>
      </c>
      <c r="G81" s="68">
        <f t="shared" si="10"/>
        <v>-180</v>
      </c>
      <c r="H81" s="142">
        <f t="shared" si="11"/>
        <v>-1.1857707509881422E-2</v>
      </c>
    </row>
    <row r="82" spans="1:8" x14ac:dyDescent="0.25">
      <c r="A82" s="258"/>
      <c r="B82" s="68"/>
      <c r="C82" s="62"/>
      <c r="D82" s="62"/>
      <c r="E82" s="68">
        <f t="shared" si="9"/>
        <v>0</v>
      </c>
      <c r="F82" s="309"/>
      <c r="G82" s="68">
        <f t="shared" si="10"/>
        <v>0</v>
      </c>
      <c r="H82" s="142" t="str">
        <f t="shared" si="11"/>
        <v/>
      </c>
    </row>
    <row r="83" spans="1:8" x14ac:dyDescent="0.25">
      <c r="A83" s="257" t="s">
        <v>129</v>
      </c>
      <c r="B83" s="259">
        <f>B84</f>
        <v>27370</v>
      </c>
      <c r="C83" s="62"/>
      <c r="D83" s="62"/>
      <c r="E83" s="259">
        <f t="shared" si="9"/>
        <v>27370</v>
      </c>
      <c r="F83" s="309"/>
      <c r="G83" s="259">
        <f t="shared" si="10"/>
        <v>0</v>
      </c>
      <c r="H83" s="292" t="str">
        <f t="shared" si="11"/>
        <v/>
      </c>
    </row>
    <row r="84" spans="1:8" ht="22.8" x14ac:dyDescent="0.25">
      <c r="A84" s="258" t="s">
        <v>182</v>
      </c>
      <c r="B84" s="251">
        <v>27370</v>
      </c>
      <c r="C84" s="62"/>
      <c r="D84" s="62"/>
      <c r="E84" s="251">
        <f t="shared" si="9"/>
        <v>27370</v>
      </c>
      <c r="F84" s="309"/>
      <c r="G84" s="251">
        <f t="shared" si="10"/>
        <v>0</v>
      </c>
      <c r="H84" s="291" t="str">
        <f t="shared" si="11"/>
        <v/>
      </c>
    </row>
    <row r="85" spans="1:8" x14ac:dyDescent="0.25">
      <c r="A85" s="272"/>
      <c r="B85" s="259"/>
      <c r="C85" s="62"/>
      <c r="D85" s="62"/>
      <c r="E85" s="259">
        <f t="shared" si="9"/>
        <v>0</v>
      </c>
      <c r="F85" s="309"/>
      <c r="G85" s="259">
        <f t="shared" si="10"/>
        <v>0</v>
      </c>
      <c r="H85" s="292" t="str">
        <f t="shared" si="11"/>
        <v/>
      </c>
    </row>
    <row r="86" spans="1:8" s="62" customFormat="1" x14ac:dyDescent="0.25">
      <c r="A86" s="278" t="s">
        <v>1</v>
      </c>
      <c r="B86" s="264">
        <f>+B88+B94+B104+B110</f>
        <v>19625201</v>
      </c>
      <c r="C86" s="264">
        <f t="shared" ref="C86" si="13">+C88+C94+C104+C110</f>
        <v>0</v>
      </c>
      <c r="D86" s="264">
        <f>+D88+D94+D104+D110+D91</f>
        <v>-1317477</v>
      </c>
      <c r="E86" s="264">
        <f t="shared" si="9"/>
        <v>18307724</v>
      </c>
      <c r="F86" s="310">
        <f>+F88+F94+F104+F110</f>
        <v>12815851</v>
      </c>
      <c r="G86" s="264">
        <f t="shared" si="10"/>
        <v>-5491873</v>
      </c>
      <c r="H86" s="295">
        <f t="shared" si="11"/>
        <v>-0.29997573701679137</v>
      </c>
    </row>
    <row r="87" spans="1:8" s="62" customFormat="1" x14ac:dyDescent="0.25">
      <c r="A87" s="278"/>
      <c r="B87" s="264"/>
      <c r="E87" s="264">
        <f t="shared" si="9"/>
        <v>0</v>
      </c>
      <c r="F87" s="309"/>
      <c r="G87" s="264">
        <f t="shared" si="10"/>
        <v>0</v>
      </c>
      <c r="H87" s="295" t="str">
        <f t="shared" si="11"/>
        <v/>
      </c>
    </row>
    <row r="88" spans="1:8" x14ac:dyDescent="0.25">
      <c r="A88" s="257" t="s">
        <v>175</v>
      </c>
      <c r="B88" s="259">
        <f>B89</f>
        <v>120000</v>
      </c>
      <c r="C88" s="62"/>
      <c r="D88" s="62"/>
      <c r="E88" s="259">
        <f t="shared" si="9"/>
        <v>120000</v>
      </c>
      <c r="F88" s="309"/>
      <c r="G88" s="259">
        <f t="shared" si="10"/>
        <v>0</v>
      </c>
      <c r="H88" s="292" t="str">
        <f t="shared" si="11"/>
        <v/>
      </c>
    </row>
    <row r="89" spans="1:8" x14ac:dyDescent="0.25">
      <c r="A89" s="265" t="s">
        <v>151</v>
      </c>
      <c r="B89" s="68">
        <v>120000</v>
      </c>
      <c r="C89" s="62"/>
      <c r="D89" s="62"/>
      <c r="E89" s="68">
        <f t="shared" si="9"/>
        <v>120000</v>
      </c>
      <c r="F89" s="309"/>
      <c r="G89" s="68">
        <f t="shared" si="10"/>
        <v>0</v>
      </c>
      <c r="H89" s="142" t="str">
        <f t="shared" si="11"/>
        <v/>
      </c>
    </row>
    <row r="90" spans="1:8" x14ac:dyDescent="0.25">
      <c r="A90" s="272"/>
      <c r="B90" s="259"/>
      <c r="C90" s="62"/>
      <c r="D90" s="62"/>
      <c r="E90" s="259">
        <f t="shared" si="9"/>
        <v>0</v>
      </c>
      <c r="F90" s="309"/>
      <c r="G90" s="259">
        <f t="shared" si="10"/>
        <v>0</v>
      </c>
      <c r="H90" s="292" t="str">
        <f t="shared" si="11"/>
        <v/>
      </c>
    </row>
    <row r="91" spans="1:8" x14ac:dyDescent="0.25">
      <c r="A91" s="257" t="s">
        <v>47</v>
      </c>
      <c r="B91" s="259"/>
      <c r="C91" s="62"/>
      <c r="D91" s="279">
        <f>D92</f>
        <v>642462</v>
      </c>
      <c r="E91" s="259">
        <f t="shared" si="9"/>
        <v>642462</v>
      </c>
      <c r="F91" s="309"/>
      <c r="G91" s="259">
        <f t="shared" si="10"/>
        <v>0</v>
      </c>
      <c r="H91" s="292" t="str">
        <f t="shared" si="11"/>
        <v/>
      </c>
    </row>
    <row r="92" spans="1:8" x14ac:dyDescent="0.25">
      <c r="A92" s="273" t="s">
        <v>127</v>
      </c>
      <c r="B92" s="259"/>
      <c r="C92" s="62"/>
      <c r="D92" s="275">
        <v>642462</v>
      </c>
      <c r="E92" s="259">
        <f t="shared" si="9"/>
        <v>642462</v>
      </c>
      <c r="F92" s="309"/>
      <c r="G92" s="259">
        <f t="shared" si="10"/>
        <v>0</v>
      </c>
      <c r="H92" s="292" t="str">
        <f t="shared" si="11"/>
        <v/>
      </c>
    </row>
    <row r="93" spans="1:8" x14ac:dyDescent="0.25">
      <c r="A93" s="272"/>
      <c r="B93" s="259"/>
      <c r="C93" s="62"/>
      <c r="D93" s="62"/>
      <c r="E93" s="259">
        <f t="shared" si="9"/>
        <v>0</v>
      </c>
      <c r="F93" s="309"/>
      <c r="G93" s="259">
        <f t="shared" si="10"/>
        <v>0</v>
      </c>
      <c r="H93" s="292" t="str">
        <f t="shared" si="11"/>
        <v/>
      </c>
    </row>
    <row r="94" spans="1:8" x14ac:dyDescent="0.25">
      <c r="A94" s="257" t="s">
        <v>128</v>
      </c>
      <c r="B94" s="259">
        <f>B96+B99+B101+B95</f>
        <v>5926933</v>
      </c>
      <c r="C94" s="259">
        <f t="shared" ref="C94" si="14">C96+C99+C101+C95</f>
        <v>0</v>
      </c>
      <c r="D94" s="259">
        <f>D96+D99+D101+D95+D102</f>
        <v>238329</v>
      </c>
      <c r="E94" s="259">
        <f t="shared" si="9"/>
        <v>6165262</v>
      </c>
      <c r="F94" s="314">
        <f t="shared" ref="F94" si="15">F96+F99+F101+F95</f>
        <v>12815851</v>
      </c>
      <c r="G94" s="259">
        <f t="shared" si="10"/>
        <v>6650589</v>
      </c>
      <c r="H94" s="292">
        <f t="shared" si="11"/>
        <v>1.0787196067255536</v>
      </c>
    </row>
    <row r="95" spans="1:8" x14ac:dyDescent="0.25">
      <c r="A95" s="280" t="s">
        <v>105</v>
      </c>
      <c r="B95" s="281">
        <v>1172073</v>
      </c>
      <c r="C95" s="62"/>
      <c r="D95" s="282">
        <v>202449</v>
      </c>
      <c r="E95" s="281">
        <f t="shared" si="9"/>
        <v>1374522</v>
      </c>
      <c r="F95" s="317"/>
      <c r="G95" s="281">
        <f t="shared" si="10"/>
        <v>0</v>
      </c>
      <c r="H95" s="142" t="str">
        <f t="shared" si="11"/>
        <v/>
      </c>
    </row>
    <row r="96" spans="1:8" x14ac:dyDescent="0.25">
      <c r="A96" s="283" t="s">
        <v>101</v>
      </c>
      <c r="B96" s="251">
        <f>SUM(B97:B98)</f>
        <v>2067420</v>
      </c>
      <c r="C96" s="62"/>
      <c r="D96" s="62"/>
      <c r="E96" s="251">
        <f t="shared" si="9"/>
        <v>2067420</v>
      </c>
      <c r="F96" s="308">
        <f t="shared" ref="F96" si="16">SUM(F97:F98)</f>
        <v>12350000</v>
      </c>
      <c r="G96" s="251">
        <f t="shared" si="10"/>
        <v>10282580</v>
      </c>
      <c r="H96" s="291">
        <f t="shared" si="11"/>
        <v>4.9736289675053929</v>
      </c>
    </row>
    <row r="97" spans="1:8" x14ac:dyDescent="0.25">
      <c r="A97" s="284" t="s">
        <v>313</v>
      </c>
      <c r="B97" s="69">
        <v>1300000</v>
      </c>
      <c r="C97" s="62"/>
      <c r="D97" s="62"/>
      <c r="E97" s="69">
        <f t="shared" si="9"/>
        <v>1300000</v>
      </c>
      <c r="F97" s="318">
        <v>12350000</v>
      </c>
      <c r="G97" s="69">
        <f t="shared" si="10"/>
        <v>11050000</v>
      </c>
      <c r="H97" s="143">
        <f t="shared" si="11"/>
        <v>8.5</v>
      </c>
    </row>
    <row r="98" spans="1:8" x14ac:dyDescent="0.25">
      <c r="A98" s="284" t="s">
        <v>115</v>
      </c>
      <c r="B98" s="69">
        <v>767420</v>
      </c>
      <c r="C98" s="62"/>
      <c r="D98" s="62"/>
      <c r="E98" s="69">
        <f t="shared" si="9"/>
        <v>767420</v>
      </c>
      <c r="F98" s="318"/>
      <c r="G98" s="69">
        <f t="shared" si="10"/>
        <v>0</v>
      </c>
      <c r="H98" s="143" t="str">
        <f t="shared" si="11"/>
        <v/>
      </c>
    </row>
    <row r="99" spans="1:8" x14ac:dyDescent="0.25">
      <c r="A99" s="283" t="s">
        <v>102</v>
      </c>
      <c r="B99" s="251">
        <f>B100</f>
        <v>596000</v>
      </c>
      <c r="C99" s="62"/>
      <c r="D99" s="62"/>
      <c r="E99" s="251">
        <f t="shared" si="9"/>
        <v>596000</v>
      </c>
      <c r="F99" s="308">
        <f t="shared" ref="F99" si="17">F100</f>
        <v>465851</v>
      </c>
      <c r="G99" s="251">
        <f t="shared" si="10"/>
        <v>-130149</v>
      </c>
      <c r="H99" s="291">
        <f t="shared" si="11"/>
        <v>-0.21837080536912751</v>
      </c>
    </row>
    <row r="100" spans="1:8" x14ac:dyDescent="0.25">
      <c r="A100" s="285" t="s">
        <v>205</v>
      </c>
      <c r="B100" s="286">
        <v>596000</v>
      </c>
      <c r="C100" s="62"/>
      <c r="D100" s="62"/>
      <c r="E100" s="286">
        <f t="shared" si="9"/>
        <v>596000</v>
      </c>
      <c r="F100" s="318">
        <v>465851</v>
      </c>
      <c r="G100" s="286">
        <f t="shared" si="10"/>
        <v>-130149</v>
      </c>
      <c r="H100" s="299">
        <f t="shared" si="11"/>
        <v>-0.21837080536912751</v>
      </c>
    </row>
    <row r="101" spans="1:8" x14ac:dyDescent="0.25">
      <c r="A101" s="283" t="s">
        <v>159</v>
      </c>
      <c r="B101" s="251">
        <v>2091440</v>
      </c>
      <c r="C101" s="62"/>
      <c r="D101" s="62"/>
      <c r="E101" s="251">
        <f t="shared" si="9"/>
        <v>2091440</v>
      </c>
      <c r="F101" s="319"/>
      <c r="G101" s="251">
        <f t="shared" si="10"/>
        <v>0</v>
      </c>
      <c r="H101" s="291" t="str">
        <f t="shared" si="11"/>
        <v/>
      </c>
    </row>
    <row r="102" spans="1:8" x14ac:dyDescent="0.25">
      <c r="A102" s="287" t="s">
        <v>314</v>
      </c>
      <c r="B102" s="251"/>
      <c r="C102" s="62"/>
      <c r="D102" s="250">
        <v>35880</v>
      </c>
      <c r="E102" s="251">
        <f t="shared" si="9"/>
        <v>35880</v>
      </c>
      <c r="F102" s="319"/>
      <c r="G102" s="251">
        <f t="shared" si="10"/>
        <v>0</v>
      </c>
      <c r="H102" s="291" t="str">
        <f t="shared" si="11"/>
        <v/>
      </c>
    </row>
    <row r="103" spans="1:8" x14ac:dyDescent="0.25">
      <c r="A103" s="265"/>
      <c r="B103" s="68"/>
      <c r="C103" s="62"/>
      <c r="D103" s="62"/>
      <c r="E103" s="68">
        <f t="shared" si="9"/>
        <v>0</v>
      </c>
      <c r="F103" s="319"/>
      <c r="G103" s="68">
        <f t="shared" si="10"/>
        <v>0</v>
      </c>
      <c r="H103" s="142" t="str">
        <f t="shared" si="11"/>
        <v/>
      </c>
    </row>
    <row r="104" spans="1:8" x14ac:dyDescent="0.25">
      <c r="A104" s="257" t="s">
        <v>37</v>
      </c>
      <c r="B104" s="259">
        <f>B105+B106+B107+B108</f>
        <v>12551000</v>
      </c>
      <c r="C104" s="259">
        <f t="shared" ref="C104:D104" si="18">C105+C106+C107+C108</f>
        <v>0</v>
      </c>
      <c r="D104" s="259">
        <f t="shared" si="18"/>
        <v>-1171000</v>
      </c>
      <c r="E104" s="259">
        <f t="shared" si="9"/>
        <v>11380000</v>
      </c>
      <c r="F104" s="319"/>
      <c r="G104" s="259">
        <f t="shared" si="10"/>
        <v>0</v>
      </c>
      <c r="H104" s="292" t="str">
        <f t="shared" si="11"/>
        <v/>
      </c>
    </row>
    <row r="105" spans="1:8" x14ac:dyDescent="0.25">
      <c r="A105" s="287" t="s">
        <v>315</v>
      </c>
      <c r="B105" s="68">
        <v>120000</v>
      </c>
      <c r="C105" s="256"/>
      <c r="D105" s="250">
        <v>-120000</v>
      </c>
      <c r="E105" s="68">
        <f t="shared" si="9"/>
        <v>0</v>
      </c>
      <c r="F105" s="319"/>
      <c r="G105" s="68">
        <f t="shared" si="10"/>
        <v>0</v>
      </c>
      <c r="H105" s="142" t="str">
        <f t="shared" si="11"/>
        <v/>
      </c>
    </row>
    <row r="106" spans="1:8" x14ac:dyDescent="0.25">
      <c r="A106" s="287" t="s">
        <v>316</v>
      </c>
      <c r="B106" s="68">
        <v>120000</v>
      </c>
      <c r="C106" s="256"/>
      <c r="D106" s="250">
        <v>-120000</v>
      </c>
      <c r="E106" s="68">
        <f t="shared" si="9"/>
        <v>0</v>
      </c>
      <c r="F106" s="320"/>
      <c r="G106" s="68">
        <f t="shared" si="10"/>
        <v>0</v>
      </c>
      <c r="H106" s="142" t="str">
        <f t="shared" si="11"/>
        <v/>
      </c>
    </row>
    <row r="107" spans="1:8" x14ac:dyDescent="0.25">
      <c r="A107" s="287" t="s">
        <v>317</v>
      </c>
      <c r="B107" s="68">
        <v>11380000</v>
      </c>
      <c r="C107" s="256"/>
      <c r="D107" s="256"/>
      <c r="E107" s="68">
        <f t="shared" si="9"/>
        <v>11380000</v>
      </c>
      <c r="F107" s="319"/>
      <c r="G107" s="68">
        <f t="shared" si="10"/>
        <v>0</v>
      </c>
      <c r="H107" s="142" t="str">
        <f t="shared" si="11"/>
        <v/>
      </c>
    </row>
    <row r="108" spans="1:8" x14ac:dyDescent="0.25">
      <c r="A108" s="287" t="s">
        <v>303</v>
      </c>
      <c r="B108" s="68">
        <v>931000</v>
      </c>
      <c r="C108" s="256"/>
      <c r="D108" s="68">
        <v>-931000</v>
      </c>
      <c r="E108" s="68">
        <f t="shared" si="9"/>
        <v>0</v>
      </c>
      <c r="F108" s="319"/>
      <c r="G108" s="68">
        <f t="shared" si="10"/>
        <v>0</v>
      </c>
      <c r="H108" s="142" t="str">
        <f t="shared" si="11"/>
        <v/>
      </c>
    </row>
    <row r="109" spans="1:8" x14ac:dyDescent="0.25">
      <c r="A109" s="265"/>
      <c r="B109" s="68"/>
      <c r="C109" s="62"/>
      <c r="D109" s="62"/>
      <c r="E109" s="68">
        <f t="shared" si="9"/>
        <v>0</v>
      </c>
      <c r="F109" s="309"/>
      <c r="G109" s="68">
        <f t="shared" si="10"/>
        <v>0</v>
      </c>
      <c r="H109" s="142" t="str">
        <f t="shared" si="11"/>
        <v/>
      </c>
    </row>
    <row r="110" spans="1:8" x14ac:dyDescent="0.25">
      <c r="A110" s="257" t="s">
        <v>34</v>
      </c>
      <c r="B110" s="259">
        <f>B111</f>
        <v>1027268</v>
      </c>
      <c r="C110" s="62"/>
      <c r="D110" s="279">
        <f>D111</f>
        <v>-1027268</v>
      </c>
      <c r="E110" s="259">
        <f t="shared" si="9"/>
        <v>0</v>
      </c>
      <c r="F110" s="309"/>
      <c r="G110" s="259">
        <f t="shared" si="10"/>
        <v>0</v>
      </c>
      <c r="H110" s="292" t="str">
        <f t="shared" si="11"/>
        <v/>
      </c>
    </row>
    <row r="111" spans="1:8" x14ac:dyDescent="0.25">
      <c r="A111" s="287" t="s">
        <v>318</v>
      </c>
      <c r="B111" s="68">
        <v>1027268</v>
      </c>
      <c r="C111" s="62"/>
      <c r="D111" s="250">
        <v>-1027268</v>
      </c>
      <c r="E111" s="68">
        <f t="shared" si="9"/>
        <v>0</v>
      </c>
      <c r="F111" s="309"/>
      <c r="G111" s="68">
        <f t="shared" si="10"/>
        <v>0</v>
      </c>
      <c r="H111" s="142" t="str">
        <f t="shared" si="11"/>
        <v/>
      </c>
    </row>
    <row r="112" spans="1:8" x14ac:dyDescent="0.25">
      <c r="A112" s="245"/>
      <c r="B112" s="246"/>
      <c r="C112" s="62"/>
      <c r="D112" s="62"/>
      <c r="E112" s="246">
        <f t="shared" si="9"/>
        <v>0</v>
      </c>
      <c r="F112" s="309"/>
      <c r="G112" s="246">
        <f t="shared" si="10"/>
        <v>0</v>
      </c>
      <c r="H112" s="289" t="str">
        <f t="shared" si="11"/>
        <v/>
      </c>
    </row>
    <row r="113" spans="1:8" x14ac:dyDescent="0.25">
      <c r="A113" s="15" t="s">
        <v>319</v>
      </c>
      <c r="B113" s="288">
        <v>49800</v>
      </c>
      <c r="C113" s="62"/>
      <c r="D113" s="62"/>
      <c r="E113" s="288">
        <f t="shared" si="9"/>
        <v>49800</v>
      </c>
      <c r="F113" s="309"/>
      <c r="G113" s="288">
        <f t="shared" si="10"/>
        <v>0</v>
      </c>
      <c r="H113" s="300" t="str">
        <f t="shared" si="11"/>
        <v/>
      </c>
    </row>
    <row r="114" spans="1:8" x14ac:dyDescent="0.25">
      <c r="A114" s="213"/>
      <c r="B114" s="264"/>
      <c r="C114" s="62"/>
      <c r="D114" s="62"/>
      <c r="E114" s="264">
        <f t="shared" si="9"/>
        <v>0</v>
      </c>
      <c r="F114" s="309"/>
      <c r="G114" s="264">
        <f t="shared" si="10"/>
        <v>0</v>
      </c>
      <c r="H114" s="295" t="str">
        <f t="shared" si="11"/>
        <v/>
      </c>
    </row>
    <row r="115" spans="1:8" x14ac:dyDescent="0.25">
      <c r="A115" s="245" t="s">
        <v>3</v>
      </c>
      <c r="B115" s="246">
        <f>B5+B41+B32+B113</f>
        <v>173832878</v>
      </c>
      <c r="C115" s="246">
        <f>C5+C41+C32+C113</f>
        <v>0</v>
      </c>
      <c r="D115" s="246">
        <f>D5+D41+D32+D113</f>
        <v>8454257</v>
      </c>
      <c r="E115" s="246">
        <f>SUM(B115:D115)</f>
        <v>182287135</v>
      </c>
      <c r="F115" s="305">
        <f>F5+F41+F32+F113</f>
        <v>158964884</v>
      </c>
      <c r="G115" s="246">
        <f t="shared" si="10"/>
        <v>-23322251</v>
      </c>
      <c r="H115" s="289">
        <f t="shared" si="11"/>
        <v>-0.12794238606032182</v>
      </c>
    </row>
  </sheetData>
  <mergeCells count="6">
    <mergeCell ref="B2:B3"/>
    <mergeCell ref="C2:C3"/>
    <mergeCell ref="E2:E3"/>
    <mergeCell ref="F2:F3"/>
    <mergeCell ref="G2:I2"/>
    <mergeCell ref="D2:D3"/>
  </mergeCells>
  <phoneticPr fontId="36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21FCE-7D9C-4322-B84D-A0FB77222B26}">
  <sheetPr>
    <tabColor rgb="FF00B0F0"/>
  </sheetPr>
  <dimension ref="A1:F31"/>
  <sheetViews>
    <sheetView zoomScaleNormal="100" workbookViewId="0">
      <pane xSplit="2" ySplit="5" topLeftCell="C6" activePane="bottomRight" state="frozen"/>
      <selection activeCell="F26" sqref="F26"/>
      <selection pane="topRight" activeCell="F26" sqref="F26"/>
      <selection pane="bottomLeft" activeCell="F26" sqref="F26"/>
      <selection pane="bottomRight" activeCell="F23" sqref="F23"/>
    </sheetView>
  </sheetViews>
  <sheetFormatPr defaultRowHeight="13.2" x14ac:dyDescent="0.25"/>
  <cols>
    <col min="1" max="1" width="4.44140625" style="97" bestFit="1" customWidth="1"/>
    <col min="2" max="2" width="27.44140625" style="97" customWidth="1"/>
    <col min="3" max="3" width="11.109375" style="97" customWidth="1"/>
    <col min="4" max="4" width="9.88671875" style="97" bestFit="1" customWidth="1"/>
    <col min="5" max="6" width="10.88671875" style="97" bestFit="1" customWidth="1"/>
    <col min="7" max="236" width="9.109375" style="97"/>
    <col min="237" max="237" width="4.44140625" style="97" bestFit="1" customWidth="1"/>
    <col min="238" max="238" width="35.44140625" style="97" customWidth="1"/>
    <col min="239" max="241" width="11.109375" style="97" bestFit="1" customWidth="1"/>
    <col min="242" max="242" width="12.5546875" style="97" bestFit="1" customWidth="1"/>
    <col min="243" max="243" width="12.44140625" style="97" customWidth="1"/>
    <col min="244" max="244" width="12.5546875" style="97" customWidth="1"/>
    <col min="245" max="245" width="2.5546875" style="97" customWidth="1"/>
    <col min="246" max="492" width="9.109375" style="97"/>
    <col min="493" max="493" width="4.44140625" style="97" bestFit="1" customWidth="1"/>
    <col min="494" max="494" width="35.44140625" style="97" customWidth="1"/>
    <col min="495" max="497" width="11.109375" style="97" bestFit="1" customWidth="1"/>
    <col min="498" max="498" width="12.5546875" style="97" bestFit="1" customWidth="1"/>
    <col min="499" max="499" width="12.44140625" style="97" customWidth="1"/>
    <col min="500" max="500" width="12.5546875" style="97" customWidth="1"/>
    <col min="501" max="501" width="2.5546875" style="97" customWidth="1"/>
    <col min="502" max="748" width="9.109375" style="97"/>
    <col min="749" max="749" width="4.44140625" style="97" bestFit="1" customWidth="1"/>
    <col min="750" max="750" width="35.44140625" style="97" customWidth="1"/>
    <col min="751" max="753" width="11.109375" style="97" bestFit="1" customWidth="1"/>
    <col min="754" max="754" width="12.5546875" style="97" bestFit="1" customWidth="1"/>
    <col min="755" max="755" width="12.44140625" style="97" customWidth="1"/>
    <col min="756" max="756" width="12.5546875" style="97" customWidth="1"/>
    <col min="757" max="757" width="2.5546875" style="97" customWidth="1"/>
    <col min="758" max="1004" width="9.109375" style="97"/>
    <col min="1005" max="1005" width="4.44140625" style="97" bestFit="1" customWidth="1"/>
    <col min="1006" max="1006" width="35.44140625" style="97" customWidth="1"/>
    <col min="1007" max="1009" width="11.109375" style="97" bestFit="1" customWidth="1"/>
    <col min="1010" max="1010" width="12.5546875" style="97" bestFit="1" customWidth="1"/>
    <col min="1011" max="1011" width="12.44140625" style="97" customWidth="1"/>
    <col min="1012" max="1012" width="12.5546875" style="97" customWidth="1"/>
    <col min="1013" max="1013" width="2.5546875" style="97" customWidth="1"/>
    <col min="1014" max="1260" width="9.109375" style="97"/>
    <col min="1261" max="1261" width="4.44140625" style="97" bestFit="1" customWidth="1"/>
    <col min="1262" max="1262" width="35.44140625" style="97" customWidth="1"/>
    <col min="1263" max="1265" width="11.109375" style="97" bestFit="1" customWidth="1"/>
    <col min="1266" max="1266" width="12.5546875" style="97" bestFit="1" customWidth="1"/>
    <col min="1267" max="1267" width="12.44140625" style="97" customWidth="1"/>
    <col min="1268" max="1268" width="12.5546875" style="97" customWidth="1"/>
    <col min="1269" max="1269" width="2.5546875" style="97" customWidth="1"/>
    <col min="1270" max="1516" width="9.109375" style="97"/>
    <col min="1517" max="1517" width="4.44140625" style="97" bestFit="1" customWidth="1"/>
    <col min="1518" max="1518" width="35.44140625" style="97" customWidth="1"/>
    <col min="1519" max="1521" width="11.109375" style="97" bestFit="1" customWidth="1"/>
    <col min="1522" max="1522" width="12.5546875" style="97" bestFit="1" customWidth="1"/>
    <col min="1523" max="1523" width="12.44140625" style="97" customWidth="1"/>
    <col min="1524" max="1524" width="12.5546875" style="97" customWidth="1"/>
    <col min="1525" max="1525" width="2.5546875" style="97" customWidth="1"/>
    <col min="1526" max="1772" width="9.109375" style="97"/>
    <col min="1773" max="1773" width="4.44140625" style="97" bestFit="1" customWidth="1"/>
    <col min="1774" max="1774" width="35.44140625" style="97" customWidth="1"/>
    <col min="1775" max="1777" width="11.109375" style="97" bestFit="1" customWidth="1"/>
    <col min="1778" max="1778" width="12.5546875" style="97" bestFit="1" customWidth="1"/>
    <col min="1779" max="1779" width="12.44140625" style="97" customWidth="1"/>
    <col min="1780" max="1780" width="12.5546875" style="97" customWidth="1"/>
    <col min="1781" max="1781" width="2.5546875" style="97" customWidth="1"/>
    <col min="1782" max="2028" width="9.109375" style="97"/>
    <col min="2029" max="2029" width="4.44140625" style="97" bestFit="1" customWidth="1"/>
    <col min="2030" max="2030" width="35.44140625" style="97" customWidth="1"/>
    <col min="2031" max="2033" width="11.109375" style="97" bestFit="1" customWidth="1"/>
    <col min="2034" max="2034" width="12.5546875" style="97" bestFit="1" customWidth="1"/>
    <col min="2035" max="2035" width="12.44140625" style="97" customWidth="1"/>
    <col min="2036" max="2036" width="12.5546875" style="97" customWidth="1"/>
    <col min="2037" max="2037" width="2.5546875" style="97" customWidth="1"/>
    <col min="2038" max="2284" width="9.109375" style="97"/>
    <col min="2285" max="2285" width="4.44140625" style="97" bestFit="1" customWidth="1"/>
    <col min="2286" max="2286" width="35.44140625" style="97" customWidth="1"/>
    <col min="2287" max="2289" width="11.109375" style="97" bestFit="1" customWidth="1"/>
    <col min="2290" max="2290" width="12.5546875" style="97" bestFit="1" customWidth="1"/>
    <col min="2291" max="2291" width="12.44140625" style="97" customWidth="1"/>
    <col min="2292" max="2292" width="12.5546875" style="97" customWidth="1"/>
    <col min="2293" max="2293" width="2.5546875" style="97" customWidth="1"/>
    <col min="2294" max="2540" width="9.109375" style="97"/>
    <col min="2541" max="2541" width="4.44140625" style="97" bestFit="1" customWidth="1"/>
    <col min="2542" max="2542" width="35.44140625" style="97" customWidth="1"/>
    <col min="2543" max="2545" width="11.109375" style="97" bestFit="1" customWidth="1"/>
    <col min="2546" max="2546" width="12.5546875" style="97" bestFit="1" customWidth="1"/>
    <col min="2547" max="2547" width="12.44140625" style="97" customWidth="1"/>
    <col min="2548" max="2548" width="12.5546875" style="97" customWidth="1"/>
    <col min="2549" max="2549" width="2.5546875" style="97" customWidth="1"/>
    <col min="2550" max="2796" width="9.109375" style="97"/>
    <col min="2797" max="2797" width="4.44140625" style="97" bestFit="1" customWidth="1"/>
    <col min="2798" max="2798" width="35.44140625" style="97" customWidth="1"/>
    <col min="2799" max="2801" width="11.109375" style="97" bestFit="1" customWidth="1"/>
    <col min="2802" max="2802" width="12.5546875" style="97" bestFit="1" customWidth="1"/>
    <col min="2803" max="2803" width="12.44140625" style="97" customWidth="1"/>
    <col min="2804" max="2804" width="12.5546875" style="97" customWidth="1"/>
    <col min="2805" max="2805" width="2.5546875" style="97" customWidth="1"/>
    <col min="2806" max="3052" width="9.109375" style="97"/>
    <col min="3053" max="3053" width="4.44140625" style="97" bestFit="1" customWidth="1"/>
    <col min="3054" max="3054" width="35.44140625" style="97" customWidth="1"/>
    <col min="3055" max="3057" width="11.109375" style="97" bestFit="1" customWidth="1"/>
    <col min="3058" max="3058" width="12.5546875" style="97" bestFit="1" customWidth="1"/>
    <col min="3059" max="3059" width="12.44140625" style="97" customWidth="1"/>
    <col min="3060" max="3060" width="12.5546875" style="97" customWidth="1"/>
    <col min="3061" max="3061" width="2.5546875" style="97" customWidth="1"/>
    <col min="3062" max="3308" width="9.109375" style="97"/>
    <col min="3309" max="3309" width="4.44140625" style="97" bestFit="1" customWidth="1"/>
    <col min="3310" max="3310" width="35.44140625" style="97" customWidth="1"/>
    <col min="3311" max="3313" width="11.109375" style="97" bestFit="1" customWidth="1"/>
    <col min="3314" max="3314" width="12.5546875" style="97" bestFit="1" customWidth="1"/>
    <col min="3315" max="3315" width="12.44140625" style="97" customWidth="1"/>
    <col min="3316" max="3316" width="12.5546875" style="97" customWidth="1"/>
    <col min="3317" max="3317" width="2.5546875" style="97" customWidth="1"/>
    <col min="3318" max="3564" width="9.109375" style="97"/>
    <col min="3565" max="3565" width="4.44140625" style="97" bestFit="1" customWidth="1"/>
    <col min="3566" max="3566" width="35.44140625" style="97" customWidth="1"/>
    <col min="3567" max="3569" width="11.109375" style="97" bestFit="1" customWidth="1"/>
    <col min="3570" max="3570" width="12.5546875" style="97" bestFit="1" customWidth="1"/>
    <col min="3571" max="3571" width="12.44140625" style="97" customWidth="1"/>
    <col min="3572" max="3572" width="12.5546875" style="97" customWidth="1"/>
    <col min="3573" max="3573" width="2.5546875" style="97" customWidth="1"/>
    <col min="3574" max="3820" width="9.109375" style="97"/>
    <col min="3821" max="3821" width="4.44140625" style="97" bestFit="1" customWidth="1"/>
    <col min="3822" max="3822" width="35.44140625" style="97" customWidth="1"/>
    <col min="3823" max="3825" width="11.109375" style="97" bestFit="1" customWidth="1"/>
    <col min="3826" max="3826" width="12.5546875" style="97" bestFit="1" customWidth="1"/>
    <col min="3827" max="3827" width="12.44140625" style="97" customWidth="1"/>
    <col min="3828" max="3828" width="12.5546875" style="97" customWidth="1"/>
    <col min="3829" max="3829" width="2.5546875" style="97" customWidth="1"/>
    <col min="3830" max="4076" width="9.109375" style="97"/>
    <col min="4077" max="4077" width="4.44140625" style="97" bestFit="1" customWidth="1"/>
    <col min="4078" max="4078" width="35.44140625" style="97" customWidth="1"/>
    <col min="4079" max="4081" width="11.109375" style="97" bestFit="1" customWidth="1"/>
    <col min="4082" max="4082" width="12.5546875" style="97" bestFit="1" customWidth="1"/>
    <col min="4083" max="4083" width="12.44140625" style="97" customWidth="1"/>
    <col min="4084" max="4084" width="12.5546875" style="97" customWidth="1"/>
    <col min="4085" max="4085" width="2.5546875" style="97" customWidth="1"/>
    <col min="4086" max="4332" width="9.109375" style="97"/>
    <col min="4333" max="4333" width="4.44140625" style="97" bestFit="1" customWidth="1"/>
    <col min="4334" max="4334" width="35.44140625" style="97" customWidth="1"/>
    <col min="4335" max="4337" width="11.109375" style="97" bestFit="1" customWidth="1"/>
    <col min="4338" max="4338" width="12.5546875" style="97" bestFit="1" customWidth="1"/>
    <col min="4339" max="4339" width="12.44140625" style="97" customWidth="1"/>
    <col min="4340" max="4340" width="12.5546875" style="97" customWidth="1"/>
    <col min="4341" max="4341" width="2.5546875" style="97" customWidth="1"/>
    <col min="4342" max="4588" width="9.109375" style="97"/>
    <col min="4589" max="4589" width="4.44140625" style="97" bestFit="1" customWidth="1"/>
    <col min="4590" max="4590" width="35.44140625" style="97" customWidth="1"/>
    <col min="4591" max="4593" width="11.109375" style="97" bestFit="1" customWidth="1"/>
    <col min="4594" max="4594" width="12.5546875" style="97" bestFit="1" customWidth="1"/>
    <col min="4595" max="4595" width="12.44140625" style="97" customWidth="1"/>
    <col min="4596" max="4596" width="12.5546875" style="97" customWidth="1"/>
    <col min="4597" max="4597" width="2.5546875" style="97" customWidth="1"/>
    <col min="4598" max="4844" width="9.109375" style="97"/>
    <col min="4845" max="4845" width="4.44140625" style="97" bestFit="1" customWidth="1"/>
    <col min="4846" max="4846" width="35.44140625" style="97" customWidth="1"/>
    <col min="4847" max="4849" width="11.109375" style="97" bestFit="1" customWidth="1"/>
    <col min="4850" max="4850" width="12.5546875" style="97" bestFit="1" customWidth="1"/>
    <col min="4851" max="4851" width="12.44140625" style="97" customWidth="1"/>
    <col min="4852" max="4852" width="12.5546875" style="97" customWidth="1"/>
    <col min="4853" max="4853" width="2.5546875" style="97" customWidth="1"/>
    <col min="4854" max="5100" width="9.109375" style="97"/>
    <col min="5101" max="5101" width="4.44140625" style="97" bestFit="1" customWidth="1"/>
    <col min="5102" max="5102" width="35.44140625" style="97" customWidth="1"/>
    <col min="5103" max="5105" width="11.109375" style="97" bestFit="1" customWidth="1"/>
    <col min="5106" max="5106" width="12.5546875" style="97" bestFit="1" customWidth="1"/>
    <col min="5107" max="5107" width="12.44140625" style="97" customWidth="1"/>
    <col min="5108" max="5108" width="12.5546875" style="97" customWidth="1"/>
    <col min="5109" max="5109" width="2.5546875" style="97" customWidth="1"/>
    <col min="5110" max="5356" width="9.109375" style="97"/>
    <col min="5357" max="5357" width="4.44140625" style="97" bestFit="1" customWidth="1"/>
    <col min="5358" max="5358" width="35.44140625" style="97" customWidth="1"/>
    <col min="5359" max="5361" width="11.109375" style="97" bestFit="1" customWidth="1"/>
    <col min="5362" max="5362" width="12.5546875" style="97" bestFit="1" customWidth="1"/>
    <col min="5363" max="5363" width="12.44140625" style="97" customWidth="1"/>
    <col min="5364" max="5364" width="12.5546875" style="97" customWidth="1"/>
    <col min="5365" max="5365" width="2.5546875" style="97" customWidth="1"/>
    <col min="5366" max="5612" width="9.109375" style="97"/>
    <col min="5613" max="5613" width="4.44140625" style="97" bestFit="1" customWidth="1"/>
    <col min="5614" max="5614" width="35.44140625" style="97" customWidth="1"/>
    <col min="5615" max="5617" width="11.109375" style="97" bestFit="1" customWidth="1"/>
    <col min="5618" max="5618" width="12.5546875" style="97" bestFit="1" customWidth="1"/>
    <col min="5619" max="5619" width="12.44140625" style="97" customWidth="1"/>
    <col min="5620" max="5620" width="12.5546875" style="97" customWidth="1"/>
    <col min="5621" max="5621" width="2.5546875" style="97" customWidth="1"/>
    <col min="5622" max="5868" width="9.109375" style="97"/>
    <col min="5869" max="5869" width="4.44140625" style="97" bestFit="1" customWidth="1"/>
    <col min="5870" max="5870" width="35.44140625" style="97" customWidth="1"/>
    <col min="5871" max="5873" width="11.109375" style="97" bestFit="1" customWidth="1"/>
    <col min="5874" max="5874" width="12.5546875" style="97" bestFit="1" customWidth="1"/>
    <col min="5875" max="5875" width="12.44140625" style="97" customWidth="1"/>
    <col min="5876" max="5876" width="12.5546875" style="97" customWidth="1"/>
    <col min="5877" max="5877" width="2.5546875" style="97" customWidth="1"/>
    <col min="5878" max="6124" width="9.109375" style="97"/>
    <col min="6125" max="6125" width="4.44140625" style="97" bestFit="1" customWidth="1"/>
    <col min="6126" max="6126" width="35.44140625" style="97" customWidth="1"/>
    <col min="6127" max="6129" width="11.109375" style="97" bestFit="1" customWidth="1"/>
    <col min="6130" max="6130" width="12.5546875" style="97" bestFit="1" customWidth="1"/>
    <col min="6131" max="6131" width="12.44140625" style="97" customWidth="1"/>
    <col min="6132" max="6132" width="12.5546875" style="97" customWidth="1"/>
    <col min="6133" max="6133" width="2.5546875" style="97" customWidth="1"/>
    <col min="6134" max="6380" width="9.109375" style="97"/>
    <col min="6381" max="6381" width="4.44140625" style="97" bestFit="1" customWidth="1"/>
    <col min="6382" max="6382" width="35.44140625" style="97" customWidth="1"/>
    <col min="6383" max="6385" width="11.109375" style="97" bestFit="1" customWidth="1"/>
    <col min="6386" max="6386" width="12.5546875" style="97" bestFit="1" customWidth="1"/>
    <col min="6387" max="6387" width="12.44140625" style="97" customWidth="1"/>
    <col min="6388" max="6388" width="12.5546875" style="97" customWidth="1"/>
    <col min="6389" max="6389" width="2.5546875" style="97" customWidth="1"/>
    <col min="6390" max="6636" width="9.109375" style="97"/>
    <col min="6637" max="6637" width="4.44140625" style="97" bestFit="1" customWidth="1"/>
    <col min="6638" max="6638" width="35.44140625" style="97" customWidth="1"/>
    <col min="6639" max="6641" width="11.109375" style="97" bestFit="1" customWidth="1"/>
    <col min="6642" max="6642" width="12.5546875" style="97" bestFit="1" customWidth="1"/>
    <col min="6643" max="6643" width="12.44140625" style="97" customWidth="1"/>
    <col min="6644" max="6644" width="12.5546875" style="97" customWidth="1"/>
    <col min="6645" max="6645" width="2.5546875" style="97" customWidth="1"/>
    <col min="6646" max="6892" width="9.109375" style="97"/>
    <col min="6893" max="6893" width="4.44140625" style="97" bestFit="1" customWidth="1"/>
    <col min="6894" max="6894" width="35.44140625" style="97" customWidth="1"/>
    <col min="6895" max="6897" width="11.109375" style="97" bestFit="1" customWidth="1"/>
    <col min="6898" max="6898" width="12.5546875" style="97" bestFit="1" customWidth="1"/>
    <col min="6899" max="6899" width="12.44140625" style="97" customWidth="1"/>
    <col min="6900" max="6900" width="12.5546875" style="97" customWidth="1"/>
    <col min="6901" max="6901" width="2.5546875" style="97" customWidth="1"/>
    <col min="6902" max="7148" width="9.109375" style="97"/>
    <col min="7149" max="7149" width="4.44140625" style="97" bestFit="1" customWidth="1"/>
    <col min="7150" max="7150" width="35.44140625" style="97" customWidth="1"/>
    <col min="7151" max="7153" width="11.109375" style="97" bestFit="1" customWidth="1"/>
    <col min="7154" max="7154" width="12.5546875" style="97" bestFit="1" customWidth="1"/>
    <col min="7155" max="7155" width="12.44140625" style="97" customWidth="1"/>
    <col min="7156" max="7156" width="12.5546875" style="97" customWidth="1"/>
    <col min="7157" max="7157" width="2.5546875" style="97" customWidth="1"/>
    <col min="7158" max="7404" width="9.109375" style="97"/>
    <col min="7405" max="7405" width="4.44140625" style="97" bestFit="1" customWidth="1"/>
    <col min="7406" max="7406" width="35.44140625" style="97" customWidth="1"/>
    <col min="7407" max="7409" width="11.109375" style="97" bestFit="1" customWidth="1"/>
    <col min="7410" max="7410" width="12.5546875" style="97" bestFit="1" customWidth="1"/>
    <col min="7411" max="7411" width="12.44140625" style="97" customWidth="1"/>
    <col min="7412" max="7412" width="12.5546875" style="97" customWidth="1"/>
    <col min="7413" max="7413" width="2.5546875" style="97" customWidth="1"/>
    <col min="7414" max="7660" width="9.109375" style="97"/>
    <col min="7661" max="7661" width="4.44140625" style="97" bestFit="1" customWidth="1"/>
    <col min="7662" max="7662" width="35.44140625" style="97" customWidth="1"/>
    <col min="7663" max="7665" width="11.109375" style="97" bestFit="1" customWidth="1"/>
    <col min="7666" max="7666" width="12.5546875" style="97" bestFit="1" customWidth="1"/>
    <col min="7667" max="7667" width="12.44140625" style="97" customWidth="1"/>
    <col min="7668" max="7668" width="12.5546875" style="97" customWidth="1"/>
    <col min="7669" max="7669" width="2.5546875" style="97" customWidth="1"/>
    <col min="7670" max="7916" width="9.109375" style="97"/>
    <col min="7917" max="7917" width="4.44140625" style="97" bestFit="1" customWidth="1"/>
    <col min="7918" max="7918" width="35.44140625" style="97" customWidth="1"/>
    <col min="7919" max="7921" width="11.109375" style="97" bestFit="1" customWidth="1"/>
    <col min="7922" max="7922" width="12.5546875" style="97" bestFit="1" customWidth="1"/>
    <col min="7923" max="7923" width="12.44140625" style="97" customWidth="1"/>
    <col min="7924" max="7924" width="12.5546875" style="97" customWidth="1"/>
    <col min="7925" max="7925" width="2.5546875" style="97" customWidth="1"/>
    <col min="7926" max="8172" width="9.109375" style="97"/>
    <col min="8173" max="8173" width="4.44140625" style="97" bestFit="1" customWidth="1"/>
    <col min="8174" max="8174" width="35.44140625" style="97" customWidth="1"/>
    <col min="8175" max="8177" width="11.109375" style="97" bestFit="1" customWidth="1"/>
    <col min="8178" max="8178" width="12.5546875" style="97" bestFit="1" customWidth="1"/>
    <col min="8179" max="8179" width="12.44140625" style="97" customWidth="1"/>
    <col min="8180" max="8180" width="12.5546875" style="97" customWidth="1"/>
    <col min="8181" max="8181" width="2.5546875" style="97" customWidth="1"/>
    <col min="8182" max="8428" width="9.109375" style="97"/>
    <col min="8429" max="8429" width="4.44140625" style="97" bestFit="1" customWidth="1"/>
    <col min="8430" max="8430" width="35.44140625" style="97" customWidth="1"/>
    <col min="8431" max="8433" width="11.109375" style="97" bestFit="1" customWidth="1"/>
    <col min="8434" max="8434" width="12.5546875" style="97" bestFit="1" customWidth="1"/>
    <col min="8435" max="8435" width="12.44140625" style="97" customWidth="1"/>
    <col min="8436" max="8436" width="12.5546875" style="97" customWidth="1"/>
    <col min="8437" max="8437" width="2.5546875" style="97" customWidth="1"/>
    <col min="8438" max="8684" width="9.109375" style="97"/>
    <col min="8685" max="8685" width="4.44140625" style="97" bestFit="1" customWidth="1"/>
    <col min="8686" max="8686" width="35.44140625" style="97" customWidth="1"/>
    <col min="8687" max="8689" width="11.109375" style="97" bestFit="1" customWidth="1"/>
    <col min="8690" max="8690" width="12.5546875" style="97" bestFit="1" customWidth="1"/>
    <col min="8691" max="8691" width="12.44140625" style="97" customWidth="1"/>
    <col min="8692" max="8692" width="12.5546875" style="97" customWidth="1"/>
    <col min="8693" max="8693" width="2.5546875" style="97" customWidth="1"/>
    <col min="8694" max="8940" width="9.109375" style="97"/>
    <col min="8941" max="8941" width="4.44140625" style="97" bestFit="1" customWidth="1"/>
    <col min="8942" max="8942" width="35.44140625" style="97" customWidth="1"/>
    <col min="8943" max="8945" width="11.109375" style="97" bestFit="1" customWidth="1"/>
    <col min="8946" max="8946" width="12.5546875" style="97" bestFit="1" customWidth="1"/>
    <col min="8947" max="8947" width="12.44140625" style="97" customWidth="1"/>
    <col min="8948" max="8948" width="12.5546875" style="97" customWidth="1"/>
    <col min="8949" max="8949" width="2.5546875" style="97" customWidth="1"/>
    <col min="8950" max="9196" width="9.109375" style="97"/>
    <col min="9197" max="9197" width="4.44140625" style="97" bestFit="1" customWidth="1"/>
    <col min="9198" max="9198" width="35.44140625" style="97" customWidth="1"/>
    <col min="9199" max="9201" width="11.109375" style="97" bestFit="1" customWidth="1"/>
    <col min="9202" max="9202" width="12.5546875" style="97" bestFit="1" customWidth="1"/>
    <col min="9203" max="9203" width="12.44140625" style="97" customWidth="1"/>
    <col min="9204" max="9204" width="12.5546875" style="97" customWidth="1"/>
    <col min="9205" max="9205" width="2.5546875" style="97" customWidth="1"/>
    <col min="9206" max="9452" width="9.109375" style="97"/>
    <col min="9453" max="9453" width="4.44140625" style="97" bestFit="1" customWidth="1"/>
    <col min="9454" max="9454" width="35.44140625" style="97" customWidth="1"/>
    <col min="9455" max="9457" width="11.109375" style="97" bestFit="1" customWidth="1"/>
    <col min="9458" max="9458" width="12.5546875" style="97" bestFit="1" customWidth="1"/>
    <col min="9459" max="9459" width="12.44140625" style="97" customWidth="1"/>
    <col min="9460" max="9460" width="12.5546875" style="97" customWidth="1"/>
    <col min="9461" max="9461" width="2.5546875" style="97" customWidth="1"/>
    <col min="9462" max="9708" width="9.109375" style="97"/>
    <col min="9709" max="9709" width="4.44140625" style="97" bestFit="1" customWidth="1"/>
    <col min="9710" max="9710" width="35.44140625" style="97" customWidth="1"/>
    <col min="9711" max="9713" width="11.109375" style="97" bestFit="1" customWidth="1"/>
    <col min="9714" max="9714" width="12.5546875" style="97" bestFit="1" customWidth="1"/>
    <col min="9715" max="9715" width="12.44140625" style="97" customWidth="1"/>
    <col min="9716" max="9716" width="12.5546875" style="97" customWidth="1"/>
    <col min="9717" max="9717" width="2.5546875" style="97" customWidth="1"/>
    <col min="9718" max="9964" width="9.109375" style="97"/>
    <col min="9965" max="9965" width="4.44140625" style="97" bestFit="1" customWidth="1"/>
    <col min="9966" max="9966" width="35.44140625" style="97" customWidth="1"/>
    <col min="9967" max="9969" width="11.109375" style="97" bestFit="1" customWidth="1"/>
    <col min="9970" max="9970" width="12.5546875" style="97" bestFit="1" customWidth="1"/>
    <col min="9971" max="9971" width="12.44140625" style="97" customWidth="1"/>
    <col min="9972" max="9972" width="12.5546875" style="97" customWidth="1"/>
    <col min="9973" max="9973" width="2.5546875" style="97" customWidth="1"/>
    <col min="9974" max="10220" width="9.109375" style="97"/>
    <col min="10221" max="10221" width="4.44140625" style="97" bestFit="1" customWidth="1"/>
    <col min="10222" max="10222" width="35.44140625" style="97" customWidth="1"/>
    <col min="10223" max="10225" width="11.109375" style="97" bestFit="1" customWidth="1"/>
    <col min="10226" max="10226" width="12.5546875" style="97" bestFit="1" customWidth="1"/>
    <col min="10227" max="10227" width="12.44140625" style="97" customWidth="1"/>
    <col min="10228" max="10228" width="12.5546875" style="97" customWidth="1"/>
    <col min="10229" max="10229" width="2.5546875" style="97" customWidth="1"/>
    <col min="10230" max="10476" width="9.109375" style="97"/>
    <col min="10477" max="10477" width="4.44140625" style="97" bestFit="1" customWidth="1"/>
    <col min="10478" max="10478" width="35.44140625" style="97" customWidth="1"/>
    <col min="10479" max="10481" width="11.109375" style="97" bestFit="1" customWidth="1"/>
    <col min="10482" max="10482" width="12.5546875" style="97" bestFit="1" customWidth="1"/>
    <col min="10483" max="10483" width="12.44140625" style="97" customWidth="1"/>
    <col min="10484" max="10484" width="12.5546875" style="97" customWidth="1"/>
    <col min="10485" max="10485" width="2.5546875" style="97" customWidth="1"/>
    <col min="10486" max="10732" width="9.109375" style="97"/>
    <col min="10733" max="10733" width="4.44140625" style="97" bestFit="1" customWidth="1"/>
    <col min="10734" max="10734" width="35.44140625" style="97" customWidth="1"/>
    <col min="10735" max="10737" width="11.109375" style="97" bestFit="1" customWidth="1"/>
    <col min="10738" max="10738" width="12.5546875" style="97" bestFit="1" customWidth="1"/>
    <col min="10739" max="10739" width="12.44140625" style="97" customWidth="1"/>
    <col min="10740" max="10740" width="12.5546875" style="97" customWidth="1"/>
    <col min="10741" max="10741" width="2.5546875" style="97" customWidth="1"/>
    <col min="10742" max="10988" width="9.109375" style="97"/>
    <col min="10989" max="10989" width="4.44140625" style="97" bestFit="1" customWidth="1"/>
    <col min="10990" max="10990" width="35.44140625" style="97" customWidth="1"/>
    <col min="10991" max="10993" width="11.109375" style="97" bestFit="1" customWidth="1"/>
    <col min="10994" max="10994" width="12.5546875" style="97" bestFit="1" customWidth="1"/>
    <col min="10995" max="10995" width="12.44140625" style="97" customWidth="1"/>
    <col min="10996" max="10996" width="12.5546875" style="97" customWidth="1"/>
    <col min="10997" max="10997" width="2.5546875" style="97" customWidth="1"/>
    <col min="10998" max="11244" width="9.109375" style="97"/>
    <col min="11245" max="11245" width="4.44140625" style="97" bestFit="1" customWidth="1"/>
    <col min="11246" max="11246" width="35.44140625" style="97" customWidth="1"/>
    <col min="11247" max="11249" width="11.109375" style="97" bestFit="1" customWidth="1"/>
    <col min="11250" max="11250" width="12.5546875" style="97" bestFit="1" customWidth="1"/>
    <col min="11251" max="11251" width="12.44140625" style="97" customWidth="1"/>
    <col min="11252" max="11252" width="12.5546875" style="97" customWidth="1"/>
    <col min="11253" max="11253" width="2.5546875" style="97" customWidth="1"/>
    <col min="11254" max="11500" width="9.109375" style="97"/>
    <col min="11501" max="11501" width="4.44140625" style="97" bestFit="1" customWidth="1"/>
    <col min="11502" max="11502" width="35.44140625" style="97" customWidth="1"/>
    <col min="11503" max="11505" width="11.109375" style="97" bestFit="1" customWidth="1"/>
    <col min="11506" max="11506" width="12.5546875" style="97" bestFit="1" customWidth="1"/>
    <col min="11507" max="11507" width="12.44140625" style="97" customWidth="1"/>
    <col min="11508" max="11508" width="12.5546875" style="97" customWidth="1"/>
    <col min="11509" max="11509" width="2.5546875" style="97" customWidth="1"/>
    <col min="11510" max="11756" width="9.109375" style="97"/>
    <col min="11757" max="11757" width="4.44140625" style="97" bestFit="1" customWidth="1"/>
    <col min="11758" max="11758" width="35.44140625" style="97" customWidth="1"/>
    <col min="11759" max="11761" width="11.109375" style="97" bestFit="1" customWidth="1"/>
    <col min="11762" max="11762" width="12.5546875" style="97" bestFit="1" customWidth="1"/>
    <col min="11763" max="11763" width="12.44140625" style="97" customWidth="1"/>
    <col min="11764" max="11764" width="12.5546875" style="97" customWidth="1"/>
    <col min="11765" max="11765" width="2.5546875" style="97" customWidth="1"/>
    <col min="11766" max="12012" width="9.109375" style="97"/>
    <col min="12013" max="12013" width="4.44140625" style="97" bestFit="1" customWidth="1"/>
    <col min="12014" max="12014" width="35.44140625" style="97" customWidth="1"/>
    <col min="12015" max="12017" width="11.109375" style="97" bestFit="1" customWidth="1"/>
    <col min="12018" max="12018" width="12.5546875" style="97" bestFit="1" customWidth="1"/>
    <col min="12019" max="12019" width="12.44140625" style="97" customWidth="1"/>
    <col min="12020" max="12020" width="12.5546875" style="97" customWidth="1"/>
    <col min="12021" max="12021" width="2.5546875" style="97" customWidth="1"/>
    <col min="12022" max="12268" width="9.109375" style="97"/>
    <col min="12269" max="12269" width="4.44140625" style="97" bestFit="1" customWidth="1"/>
    <col min="12270" max="12270" width="35.44140625" style="97" customWidth="1"/>
    <col min="12271" max="12273" width="11.109375" style="97" bestFit="1" customWidth="1"/>
    <col min="12274" max="12274" width="12.5546875" style="97" bestFit="1" customWidth="1"/>
    <col min="12275" max="12275" width="12.44140625" style="97" customWidth="1"/>
    <col min="12276" max="12276" width="12.5546875" style="97" customWidth="1"/>
    <col min="12277" max="12277" width="2.5546875" style="97" customWidth="1"/>
    <col min="12278" max="12524" width="9.109375" style="97"/>
    <col min="12525" max="12525" width="4.44140625" style="97" bestFit="1" customWidth="1"/>
    <col min="12526" max="12526" width="35.44140625" style="97" customWidth="1"/>
    <col min="12527" max="12529" width="11.109375" style="97" bestFit="1" customWidth="1"/>
    <col min="12530" max="12530" width="12.5546875" style="97" bestFit="1" customWidth="1"/>
    <col min="12531" max="12531" width="12.44140625" style="97" customWidth="1"/>
    <col min="12532" max="12532" width="12.5546875" style="97" customWidth="1"/>
    <col min="12533" max="12533" width="2.5546875" style="97" customWidth="1"/>
    <col min="12534" max="12780" width="9.109375" style="97"/>
    <col min="12781" max="12781" width="4.44140625" style="97" bestFit="1" customWidth="1"/>
    <col min="12782" max="12782" width="35.44140625" style="97" customWidth="1"/>
    <col min="12783" max="12785" width="11.109375" style="97" bestFit="1" customWidth="1"/>
    <col min="12786" max="12786" width="12.5546875" style="97" bestFit="1" customWidth="1"/>
    <col min="12787" max="12787" width="12.44140625" style="97" customWidth="1"/>
    <col min="12788" max="12788" width="12.5546875" style="97" customWidth="1"/>
    <col min="12789" max="12789" width="2.5546875" style="97" customWidth="1"/>
    <col min="12790" max="13036" width="9.109375" style="97"/>
    <col min="13037" max="13037" width="4.44140625" style="97" bestFit="1" customWidth="1"/>
    <col min="13038" max="13038" width="35.44140625" style="97" customWidth="1"/>
    <col min="13039" max="13041" width="11.109375" style="97" bestFit="1" customWidth="1"/>
    <col min="13042" max="13042" width="12.5546875" style="97" bestFit="1" customWidth="1"/>
    <col min="13043" max="13043" width="12.44140625" style="97" customWidth="1"/>
    <col min="13044" max="13044" width="12.5546875" style="97" customWidth="1"/>
    <col min="13045" max="13045" width="2.5546875" style="97" customWidth="1"/>
    <col min="13046" max="13292" width="9.109375" style="97"/>
    <col min="13293" max="13293" width="4.44140625" style="97" bestFit="1" customWidth="1"/>
    <col min="13294" max="13294" width="35.44140625" style="97" customWidth="1"/>
    <col min="13295" max="13297" width="11.109375" style="97" bestFit="1" customWidth="1"/>
    <col min="13298" max="13298" width="12.5546875" style="97" bestFit="1" customWidth="1"/>
    <col min="13299" max="13299" width="12.44140625" style="97" customWidth="1"/>
    <col min="13300" max="13300" width="12.5546875" style="97" customWidth="1"/>
    <col min="13301" max="13301" width="2.5546875" style="97" customWidth="1"/>
    <col min="13302" max="13548" width="9.109375" style="97"/>
    <col min="13549" max="13549" width="4.44140625" style="97" bestFit="1" customWidth="1"/>
    <col min="13550" max="13550" width="35.44140625" style="97" customWidth="1"/>
    <col min="13551" max="13553" width="11.109375" style="97" bestFit="1" customWidth="1"/>
    <col min="13554" max="13554" width="12.5546875" style="97" bestFit="1" customWidth="1"/>
    <col min="13555" max="13555" width="12.44140625" style="97" customWidth="1"/>
    <col min="13556" max="13556" width="12.5546875" style="97" customWidth="1"/>
    <col min="13557" max="13557" width="2.5546875" style="97" customWidth="1"/>
    <col min="13558" max="13804" width="9.109375" style="97"/>
    <col min="13805" max="13805" width="4.44140625" style="97" bestFit="1" customWidth="1"/>
    <col min="13806" max="13806" width="35.44140625" style="97" customWidth="1"/>
    <col min="13807" max="13809" width="11.109375" style="97" bestFit="1" customWidth="1"/>
    <col min="13810" max="13810" width="12.5546875" style="97" bestFit="1" customWidth="1"/>
    <col min="13811" max="13811" width="12.44140625" style="97" customWidth="1"/>
    <col min="13812" max="13812" width="12.5546875" style="97" customWidth="1"/>
    <col min="13813" max="13813" width="2.5546875" style="97" customWidth="1"/>
    <col min="13814" max="14060" width="9.109375" style="97"/>
    <col min="14061" max="14061" width="4.44140625" style="97" bestFit="1" customWidth="1"/>
    <col min="14062" max="14062" width="35.44140625" style="97" customWidth="1"/>
    <col min="14063" max="14065" width="11.109375" style="97" bestFit="1" customWidth="1"/>
    <col min="14066" max="14066" width="12.5546875" style="97" bestFit="1" customWidth="1"/>
    <col min="14067" max="14067" width="12.44140625" style="97" customWidth="1"/>
    <col min="14068" max="14068" width="12.5546875" style="97" customWidth="1"/>
    <col min="14069" max="14069" width="2.5546875" style="97" customWidth="1"/>
    <col min="14070" max="14316" width="9.109375" style="97"/>
    <col min="14317" max="14317" width="4.44140625" style="97" bestFit="1" customWidth="1"/>
    <col min="14318" max="14318" width="35.44140625" style="97" customWidth="1"/>
    <col min="14319" max="14321" width="11.109375" style="97" bestFit="1" customWidth="1"/>
    <col min="14322" max="14322" width="12.5546875" style="97" bestFit="1" customWidth="1"/>
    <col min="14323" max="14323" width="12.44140625" style="97" customWidth="1"/>
    <col min="14324" max="14324" width="12.5546875" style="97" customWidth="1"/>
    <col min="14325" max="14325" width="2.5546875" style="97" customWidth="1"/>
    <col min="14326" max="14572" width="9.109375" style="97"/>
    <col min="14573" max="14573" width="4.44140625" style="97" bestFit="1" customWidth="1"/>
    <col min="14574" max="14574" width="35.44140625" style="97" customWidth="1"/>
    <col min="14575" max="14577" width="11.109375" style="97" bestFit="1" customWidth="1"/>
    <col min="14578" max="14578" width="12.5546875" style="97" bestFit="1" customWidth="1"/>
    <col min="14579" max="14579" width="12.44140625" style="97" customWidth="1"/>
    <col min="14580" max="14580" width="12.5546875" style="97" customWidth="1"/>
    <col min="14581" max="14581" width="2.5546875" style="97" customWidth="1"/>
    <col min="14582" max="14828" width="9.109375" style="97"/>
    <col min="14829" max="14829" width="4.44140625" style="97" bestFit="1" customWidth="1"/>
    <col min="14830" max="14830" width="35.44140625" style="97" customWidth="1"/>
    <col min="14831" max="14833" width="11.109375" style="97" bestFit="1" customWidth="1"/>
    <col min="14834" max="14834" width="12.5546875" style="97" bestFit="1" customWidth="1"/>
    <col min="14835" max="14835" width="12.44140625" style="97" customWidth="1"/>
    <col min="14836" max="14836" width="12.5546875" style="97" customWidth="1"/>
    <col min="14837" max="14837" width="2.5546875" style="97" customWidth="1"/>
    <col min="14838" max="15084" width="9.109375" style="97"/>
    <col min="15085" max="15085" width="4.44140625" style="97" bestFit="1" customWidth="1"/>
    <col min="15086" max="15086" width="35.44140625" style="97" customWidth="1"/>
    <col min="15087" max="15089" width="11.109375" style="97" bestFit="1" customWidth="1"/>
    <col min="15090" max="15090" width="12.5546875" style="97" bestFit="1" customWidth="1"/>
    <col min="15091" max="15091" width="12.44140625" style="97" customWidth="1"/>
    <col min="15092" max="15092" width="12.5546875" style="97" customWidth="1"/>
    <col min="15093" max="15093" width="2.5546875" style="97" customWidth="1"/>
    <col min="15094" max="15340" width="9.109375" style="97"/>
    <col min="15341" max="15341" width="4.44140625" style="97" bestFit="1" customWidth="1"/>
    <col min="15342" max="15342" width="35.44140625" style="97" customWidth="1"/>
    <col min="15343" max="15345" width="11.109375" style="97" bestFit="1" customWidth="1"/>
    <col min="15346" max="15346" width="12.5546875" style="97" bestFit="1" customWidth="1"/>
    <col min="15347" max="15347" width="12.44140625" style="97" customWidth="1"/>
    <col min="15348" max="15348" width="12.5546875" style="97" customWidth="1"/>
    <col min="15349" max="15349" width="2.5546875" style="97" customWidth="1"/>
    <col min="15350" max="15596" width="9.109375" style="97"/>
    <col min="15597" max="15597" width="4.44140625" style="97" bestFit="1" customWidth="1"/>
    <col min="15598" max="15598" width="35.44140625" style="97" customWidth="1"/>
    <col min="15599" max="15601" width="11.109375" style="97" bestFit="1" customWidth="1"/>
    <col min="15602" max="15602" width="12.5546875" style="97" bestFit="1" customWidth="1"/>
    <col min="15603" max="15603" width="12.44140625" style="97" customWidth="1"/>
    <col min="15604" max="15604" width="12.5546875" style="97" customWidth="1"/>
    <col min="15605" max="15605" width="2.5546875" style="97" customWidth="1"/>
    <col min="15606" max="15852" width="9.109375" style="97"/>
    <col min="15853" max="15853" width="4.44140625" style="97" bestFit="1" customWidth="1"/>
    <col min="15854" max="15854" width="35.44140625" style="97" customWidth="1"/>
    <col min="15855" max="15857" width="11.109375" style="97" bestFit="1" customWidth="1"/>
    <col min="15858" max="15858" width="12.5546875" style="97" bestFit="1" customWidth="1"/>
    <col min="15859" max="15859" width="12.44140625" style="97" customWidth="1"/>
    <col min="15860" max="15860" width="12.5546875" style="97" customWidth="1"/>
    <col min="15861" max="15861" width="2.5546875" style="97" customWidth="1"/>
    <col min="15862" max="16108" width="9.109375" style="97"/>
    <col min="16109" max="16109" width="4.44140625" style="97" bestFit="1" customWidth="1"/>
    <col min="16110" max="16110" width="35.44140625" style="97" customWidth="1"/>
    <col min="16111" max="16113" width="11.109375" style="97" bestFit="1" customWidth="1"/>
    <col min="16114" max="16114" width="12.5546875" style="97" bestFit="1" customWidth="1"/>
    <col min="16115" max="16115" width="12.44140625" style="97" customWidth="1"/>
    <col min="16116" max="16116" width="12.5546875" style="97" customWidth="1"/>
    <col min="16117" max="16117" width="2.5546875" style="97" customWidth="1"/>
    <col min="16118" max="16384" width="9.109375" style="97"/>
  </cols>
  <sheetData>
    <row r="1" spans="1:6" ht="15.6" x14ac:dyDescent="0.3">
      <c r="A1" s="148" t="s">
        <v>354</v>
      </c>
    </row>
    <row r="2" spans="1:6" ht="15.6" x14ac:dyDescent="0.3">
      <c r="B2" s="149"/>
    </row>
    <row r="3" spans="1:6" ht="15.6" x14ac:dyDescent="0.3">
      <c r="A3" s="150"/>
      <c r="B3" s="150"/>
      <c r="C3" s="150"/>
      <c r="D3" s="150"/>
      <c r="E3" s="150"/>
      <c r="F3" s="151" t="s">
        <v>13</v>
      </c>
    </row>
    <row r="4" spans="1:6" ht="30.75" customHeight="1" x14ac:dyDescent="0.25">
      <c r="A4" s="152" t="s">
        <v>265</v>
      </c>
      <c r="B4" s="153" t="s">
        <v>266</v>
      </c>
      <c r="C4" s="420" t="s">
        <v>355</v>
      </c>
      <c r="D4" s="422" t="s">
        <v>267</v>
      </c>
      <c r="E4" s="423"/>
      <c r="F4" s="424"/>
    </row>
    <row r="5" spans="1:6" s="157" customFormat="1" ht="27.6" x14ac:dyDescent="0.25">
      <c r="A5" s="154" t="s">
        <v>268</v>
      </c>
      <c r="B5" s="155"/>
      <c r="C5" s="421"/>
      <c r="D5" s="156" t="s">
        <v>269</v>
      </c>
      <c r="E5" s="156" t="s">
        <v>270</v>
      </c>
      <c r="F5" s="156" t="s">
        <v>271</v>
      </c>
    </row>
    <row r="6" spans="1:6" x14ac:dyDescent="0.25">
      <c r="A6" s="159" t="s">
        <v>235</v>
      </c>
      <c r="B6" s="159" t="s">
        <v>34</v>
      </c>
      <c r="C6" s="158">
        <v>113313975</v>
      </c>
      <c r="D6" s="158">
        <v>1367700</v>
      </c>
      <c r="E6" s="158">
        <v>111772986</v>
      </c>
      <c r="F6" s="158">
        <v>173289</v>
      </c>
    </row>
    <row r="7" spans="1:6" x14ac:dyDescent="0.25">
      <c r="A7" s="157"/>
    </row>
    <row r="8" spans="1:6" x14ac:dyDescent="0.25">
      <c r="A8" s="157"/>
    </row>
    <row r="9" spans="1:6" x14ac:dyDescent="0.25">
      <c r="A9" s="157"/>
    </row>
    <row r="10" spans="1:6" x14ac:dyDescent="0.25">
      <c r="A10" s="157"/>
    </row>
    <row r="11" spans="1:6" x14ac:dyDescent="0.25">
      <c r="A11" s="157"/>
    </row>
    <row r="12" spans="1:6" x14ac:dyDescent="0.25">
      <c r="A12" s="157"/>
    </row>
    <row r="13" spans="1:6" x14ac:dyDescent="0.25">
      <c r="A13" s="157"/>
    </row>
    <row r="14" spans="1:6" x14ac:dyDescent="0.25">
      <c r="A14" s="157"/>
    </row>
    <row r="15" spans="1:6" x14ac:dyDescent="0.25">
      <c r="A15" s="157"/>
    </row>
    <row r="16" spans="1:6" x14ac:dyDescent="0.25">
      <c r="A16" s="157"/>
    </row>
    <row r="17" spans="1:1" x14ac:dyDescent="0.25">
      <c r="A17" s="157"/>
    </row>
    <row r="18" spans="1:1" x14ac:dyDescent="0.25">
      <c r="A18" s="157"/>
    </row>
    <row r="19" spans="1:1" x14ac:dyDescent="0.25">
      <c r="A19" s="157"/>
    </row>
    <row r="20" spans="1:1" x14ac:dyDescent="0.25">
      <c r="A20" s="157"/>
    </row>
    <row r="21" spans="1:1" x14ac:dyDescent="0.25">
      <c r="A21" s="157"/>
    </row>
    <row r="22" spans="1:1" x14ac:dyDescent="0.25">
      <c r="A22" s="157"/>
    </row>
    <row r="23" spans="1:1" x14ac:dyDescent="0.25">
      <c r="A23" s="157"/>
    </row>
    <row r="24" spans="1:1" x14ac:dyDescent="0.25">
      <c r="A24" s="157"/>
    </row>
    <row r="25" spans="1:1" x14ac:dyDescent="0.25">
      <c r="A25" s="157"/>
    </row>
    <row r="26" spans="1:1" x14ac:dyDescent="0.25">
      <c r="A26" s="157"/>
    </row>
    <row r="27" spans="1:1" x14ac:dyDescent="0.25">
      <c r="A27" s="157"/>
    </row>
    <row r="28" spans="1:1" x14ac:dyDescent="0.25">
      <c r="A28" s="157"/>
    </row>
    <row r="29" spans="1:1" x14ac:dyDescent="0.25">
      <c r="A29" s="157"/>
    </row>
    <row r="30" spans="1:1" x14ac:dyDescent="0.25">
      <c r="A30" s="157"/>
    </row>
    <row r="31" spans="1:1" x14ac:dyDescent="0.25">
      <c r="A31" s="157"/>
    </row>
  </sheetData>
  <mergeCells count="2">
    <mergeCell ref="C4:C5"/>
    <mergeCell ref="D4:F4"/>
  </mergeCells>
  <pageMargins left="1.1811023622047245" right="0.47244094488188981" top="0.31496062992125984" bottom="0.35433070866141736" header="0.51181102362204722" footer="0.51181102362204722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BA670-9953-41DF-8ED4-B896D2ECEEB6}">
  <sheetPr>
    <tabColor rgb="FF00B0F0"/>
  </sheetPr>
  <dimension ref="A1:C5"/>
  <sheetViews>
    <sheetView workbookViewId="0">
      <selection activeCell="C18" sqref="C18"/>
    </sheetView>
  </sheetViews>
  <sheetFormatPr defaultColWidth="9.109375" defaultRowHeight="13.2" x14ac:dyDescent="0.25"/>
  <cols>
    <col min="1" max="1" width="9.109375" style="62"/>
    <col min="2" max="2" width="25.44140625" style="62" bestFit="1" customWidth="1"/>
    <col min="3" max="3" width="58.5546875" style="62" customWidth="1"/>
    <col min="4" max="4" width="9.109375" style="62"/>
    <col min="5" max="5" width="10" style="62" bestFit="1" customWidth="1"/>
    <col min="6" max="6" width="11" style="62" bestFit="1" customWidth="1"/>
    <col min="7" max="7" width="9.6640625" style="62" bestFit="1" customWidth="1"/>
    <col min="8" max="8" width="11.44140625" style="62" bestFit="1" customWidth="1"/>
    <col min="9" max="9" width="8.6640625" style="62" bestFit="1" customWidth="1"/>
    <col min="10" max="10" width="11.44140625" style="62" bestFit="1" customWidth="1"/>
    <col min="11" max="16384" width="9.109375" style="62"/>
  </cols>
  <sheetData>
    <row r="1" spans="1:3" x14ac:dyDescent="0.25">
      <c r="A1" s="160" t="s">
        <v>233</v>
      </c>
      <c r="B1" s="160" t="s">
        <v>266</v>
      </c>
      <c r="C1" s="160" t="s">
        <v>273</v>
      </c>
    </row>
    <row r="2" spans="1:3" x14ac:dyDescent="0.25">
      <c r="A2" s="425">
        <v>6</v>
      </c>
      <c r="B2" s="426" t="s">
        <v>34</v>
      </c>
      <c r="C2" s="161" t="s">
        <v>356</v>
      </c>
    </row>
    <row r="3" spans="1:3" x14ac:dyDescent="0.25">
      <c r="A3" s="425"/>
      <c r="B3" s="426"/>
      <c r="C3" s="162" t="s">
        <v>274</v>
      </c>
    </row>
    <row r="4" spans="1:3" x14ac:dyDescent="0.25">
      <c r="A4" s="425"/>
      <c r="B4" s="426"/>
      <c r="C4" s="162" t="s">
        <v>357</v>
      </c>
    </row>
    <row r="5" spans="1:3" x14ac:dyDescent="0.25">
      <c r="A5" s="425"/>
      <c r="B5" s="426"/>
      <c r="C5" s="163" t="s">
        <v>358</v>
      </c>
    </row>
  </sheetData>
  <mergeCells count="2">
    <mergeCell ref="A2:A5"/>
    <mergeCell ref="B2:B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B7F2E-EEDC-48A1-8FE2-CB0C3CDC9E6C}">
  <sheetPr>
    <tabColor rgb="FF00B0F0"/>
    <pageSetUpPr fitToPage="1"/>
  </sheetPr>
  <dimension ref="A1:I7"/>
  <sheetViews>
    <sheetView zoomScale="90" zoomScaleNormal="90" workbookViewId="0">
      <pane ySplit="3" topLeftCell="A4" activePane="bottomLeft" state="frozen"/>
      <selection activeCell="F26" sqref="F26"/>
      <selection pane="bottomLeft" activeCell="C10" sqref="C10"/>
    </sheetView>
  </sheetViews>
  <sheetFormatPr defaultColWidth="9.44140625" defaultRowHeight="13.8" x14ac:dyDescent="0.3"/>
  <cols>
    <col min="1" max="1" width="6.5546875" style="194" customWidth="1"/>
    <col min="2" max="2" width="25.5546875" style="166" customWidth="1"/>
    <col min="3" max="3" width="21" style="166" customWidth="1"/>
    <col min="4" max="4" width="28.44140625" style="171" customWidth="1"/>
    <col min="5" max="5" width="25.33203125" style="166" customWidth="1"/>
    <col min="6" max="6" width="11.44140625" style="167" customWidth="1"/>
    <col min="7" max="7" width="21.33203125" style="166" customWidth="1"/>
    <col min="8" max="8" width="17.5546875" style="173" customWidth="1"/>
    <col min="9" max="9" width="39.6640625" style="166" customWidth="1"/>
    <col min="10" max="10" width="11.33203125" style="166" customWidth="1"/>
    <col min="11" max="16384" width="9.44140625" style="166"/>
  </cols>
  <sheetData>
    <row r="1" spans="1:9" x14ac:dyDescent="0.3">
      <c r="A1" s="164" t="s">
        <v>359</v>
      </c>
      <c r="B1" s="165"/>
      <c r="C1" s="165"/>
      <c r="D1" s="166"/>
      <c r="G1" s="168"/>
      <c r="H1" s="169"/>
      <c r="I1" s="168"/>
    </row>
    <row r="2" spans="1:9" x14ac:dyDescent="0.3">
      <c r="A2" s="170"/>
      <c r="B2" s="165"/>
      <c r="C2" s="165"/>
      <c r="G2" s="172"/>
      <c r="I2" s="168"/>
    </row>
    <row r="3" spans="1:9" ht="69" x14ac:dyDescent="0.3">
      <c r="A3" s="174" t="s">
        <v>275</v>
      </c>
      <c r="B3" s="175" t="s">
        <v>266</v>
      </c>
      <c r="C3" s="175" t="s">
        <v>276</v>
      </c>
      <c r="D3" s="176" t="s">
        <v>277</v>
      </c>
      <c r="E3" s="176" t="s">
        <v>278</v>
      </c>
      <c r="F3" s="176" t="s">
        <v>279</v>
      </c>
      <c r="G3" s="176" t="s">
        <v>280</v>
      </c>
      <c r="H3" s="177" t="s">
        <v>46</v>
      </c>
      <c r="I3" s="176" t="s">
        <v>234</v>
      </c>
    </row>
    <row r="4" spans="1:9" x14ac:dyDescent="0.3">
      <c r="A4" s="178"/>
      <c r="B4" s="179" t="s">
        <v>360</v>
      </c>
      <c r="C4" s="180"/>
      <c r="D4" s="181"/>
      <c r="E4" s="181"/>
      <c r="F4" s="181"/>
      <c r="G4" s="182">
        <f>SUM(G5:G7)</f>
        <v>2170000</v>
      </c>
      <c r="H4" s="182">
        <f>SUM(H6:H7)</f>
        <v>0</v>
      </c>
      <c r="I4" s="182"/>
    </row>
    <row r="5" spans="1:9" s="190" customFormat="1" ht="41.4" x14ac:dyDescent="0.25">
      <c r="A5" s="411">
        <v>1</v>
      </c>
      <c r="B5" s="191"/>
      <c r="C5" s="191" t="s">
        <v>114</v>
      </c>
      <c r="D5" s="193" t="s">
        <v>361</v>
      </c>
      <c r="E5" s="193" t="s">
        <v>362</v>
      </c>
      <c r="F5" s="195">
        <v>44927</v>
      </c>
      <c r="G5" s="412">
        <v>2000000</v>
      </c>
      <c r="H5" s="412"/>
      <c r="I5" s="412" t="s">
        <v>363</v>
      </c>
    </row>
    <row r="6" spans="1:9" ht="41.4" x14ac:dyDescent="0.3">
      <c r="A6" s="184">
        <v>2</v>
      </c>
      <c r="B6" s="189"/>
      <c r="C6" s="183" t="s">
        <v>114</v>
      </c>
      <c r="D6" s="193" t="s">
        <v>364</v>
      </c>
      <c r="E6" s="183" t="s">
        <v>365</v>
      </c>
      <c r="F6" s="186">
        <v>44927</v>
      </c>
      <c r="G6" s="196">
        <v>90000</v>
      </c>
      <c r="H6" s="188"/>
      <c r="I6" s="193" t="s">
        <v>366</v>
      </c>
    </row>
    <row r="7" spans="1:9" ht="55.2" x14ac:dyDescent="0.3">
      <c r="A7" s="184">
        <v>3</v>
      </c>
      <c r="B7" s="189"/>
      <c r="C7" s="185" t="s">
        <v>114</v>
      </c>
      <c r="D7" s="193" t="s">
        <v>367</v>
      </c>
      <c r="E7" s="183" t="s">
        <v>368</v>
      </c>
      <c r="F7" s="192">
        <v>44927</v>
      </c>
      <c r="G7" s="187">
        <v>80000</v>
      </c>
      <c r="H7" s="188"/>
      <c r="I7" s="193" t="s">
        <v>366</v>
      </c>
    </row>
  </sheetData>
  <autoFilter ref="A3:I7" xr:uid="{00000000-0009-0000-0000-000006000000}"/>
  <pageMargins left="0.70866141732283472" right="0.70866141732283472" top="0.19685039370078741" bottom="0.39370078740157483" header="0.31496062992125984" footer="0.31496062992125984"/>
  <pageSetup paperSize="9" scale="1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18</vt:i4>
      </vt:variant>
    </vt:vector>
  </HeadingPairs>
  <TitlesOfParts>
    <vt:vector size="29" baseType="lpstr">
      <vt:lpstr>list1</vt:lpstr>
      <vt:lpstr>Koondvorm (1)</vt:lpstr>
      <vt:lpstr>LK tulud (2)</vt:lpstr>
      <vt:lpstr>Sheet2</vt:lpstr>
      <vt:lpstr>Omatulud (3)</vt:lpstr>
      <vt:lpstr>Toetused (5)</vt:lpstr>
      <vt:lpstr>Piirsumma</vt:lpstr>
      <vt:lpstr>Piirsumma täpsustus</vt:lpstr>
      <vt:lpstr>LK suurendus</vt:lpstr>
      <vt:lpstr>Kulud (6)</vt:lpstr>
      <vt:lpstr>välisprojektid (7)</vt:lpstr>
      <vt:lpstr>LINNAMAASTIK</vt:lpstr>
      <vt:lpstr>'LK suurendus'!Print_Titles</vt:lpstr>
      <vt:lpstr>v</vt:lpstr>
      <vt:lpstr>V1_ETTEVÕTLUSKESKKOND</vt:lpstr>
      <vt:lpstr>V10_SOTSIAALHOOLEKANNE</vt:lpstr>
      <vt:lpstr>V11_SPORT</vt:lpstr>
      <vt:lpstr>V12_TEHNOVÕRGUD</vt:lpstr>
      <vt:lpstr>V13_TERVISHOID</vt:lpstr>
      <vt:lpstr>V14_JUHTIMINE</vt:lpstr>
      <vt:lpstr>V2_HARIDUS</vt:lpstr>
      <vt:lpstr>V3_KESKKONNAHOID</vt:lpstr>
      <vt:lpstr>V4_KORRAKAITSE</vt:lpstr>
      <vt:lpstr>V5_KULTUUR</vt:lpstr>
      <vt:lpstr>V6_LIIKUVUS</vt:lpstr>
      <vt:lpstr>V7_LINNAMAASTIK</vt:lpstr>
      <vt:lpstr>V8_LINNAPLANEERIMINE</vt:lpstr>
      <vt:lpstr>V9_LINNAVARA</vt:lpstr>
      <vt:lpstr>Valdkond</vt:lpstr>
    </vt:vector>
  </TitlesOfParts>
  <Company>Tallinna Linnakantselei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valler</dc:creator>
  <cp:lastModifiedBy>Maarja Valler</cp:lastModifiedBy>
  <cp:lastPrinted>2020-12-15T07:58:15Z</cp:lastPrinted>
  <dcterms:created xsi:type="dcterms:W3CDTF">2011-11-17T06:19:29Z</dcterms:created>
  <dcterms:modified xsi:type="dcterms:W3CDTF">2022-06-30T07:40:59Z</dcterms:modified>
</cp:coreProperties>
</file>