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R:\Finantsteenistus\EELARVE OSAKOND\2023\RAAMAT\Võrdlustabelid\"/>
    </mc:Choice>
  </mc:AlternateContent>
  <xr:revisionPtr revIDLastSave="0" documentId="13_ncr:1_{65CAF85C-8360-4BCD-AFC0-30EAFCE0DA6E}" xr6:coauthVersionLast="45" xr6:coauthVersionMax="47" xr10:uidLastSave="{00000000-0000-0000-0000-000000000000}"/>
  <bookViews>
    <workbookView xWindow="-108" yWindow="-108" windowWidth="30936" windowHeight="16896" tabRatio="796" firstSheet="1" activeTab="1" xr2:uid="{00000000-000D-0000-FFFF-FFFF00000000}"/>
  </bookViews>
  <sheets>
    <sheet name="list1" sheetId="34" state="hidden" r:id="rId1"/>
    <sheet name="1 KOONDEELARVE" sheetId="52" r:id="rId2"/>
    <sheet name="2 TULUDE KOOND" sheetId="36" r:id="rId3"/>
    <sheet name="2.1 LK TULUD" sheetId="7" r:id="rId4"/>
    <sheet name="Sheet2" sheetId="15" state="hidden" r:id="rId5"/>
    <sheet name="2.2 OMATULUD" sheetId="4" r:id="rId6"/>
    <sheet name="2.3 TOETUSED" sheetId="12" r:id="rId7"/>
    <sheet name="3 KULUD" sheetId="17" r:id="rId8"/>
    <sheet name="5 FIN TEH" sheetId="55" r:id="rId9"/>
    <sheet name="4 INVEST" sheetId="53" r:id="rId10"/>
    <sheet name="6 RAHAKÄIVE" sheetId="56" r:id="rId11"/>
    <sheet name="7 LIIGENDUS" sheetId="57" r:id="rId12"/>
    <sheet name="Katteallikad" sheetId="58" state="hidden" r:id="rId13"/>
  </sheets>
  <externalReferences>
    <externalReference r:id="rId14"/>
    <externalReference r:id="rId15"/>
  </externalReferences>
  <definedNames>
    <definedName name="_xlnm._FilterDatabase" localSheetId="1" hidden="1">'1 KOONDEELARVE'!$A$5:$K$84</definedName>
    <definedName name="_xlnm._FilterDatabase" localSheetId="2" hidden="1">'2 TULUDE KOOND'!$A$5:$U$59</definedName>
    <definedName name="_xlnm._FilterDatabase" localSheetId="3" hidden="1">'2.1 LK TULUD'!$A$5:$I$96</definedName>
    <definedName name="_xlnm._FilterDatabase" localSheetId="5" hidden="1">'2.2 OMATULUD'!$A$5:$K$814</definedName>
    <definedName name="_xlnm._FilterDatabase" localSheetId="6" hidden="1">'2.3 TOETUSED'!$A$4:$K$134</definedName>
    <definedName name="_xlnm._FilterDatabase" localSheetId="7" hidden="1">'3 KULUD'!$A$4:$P$2012</definedName>
    <definedName name="a" localSheetId="1">'[1]8 KULUD'!#REF!</definedName>
    <definedName name="a" localSheetId="2">'[1]8 KULUD'!#REF!</definedName>
    <definedName name="a" localSheetId="0">'[1]8 KULUD'!#REF!</definedName>
    <definedName name="a">'[1]8 KULUD'!#REF!</definedName>
    <definedName name="ea" localSheetId="1">OFFSET(job_levels_range,0,0,COUNTA(job_levels_range),1)</definedName>
    <definedName name="ea" localSheetId="2">OFFSET(job_levels_range,0,0,COUNTA(job_levels_range),1)</definedName>
    <definedName name="ea" localSheetId="0">OFFSET(job_levels_range,0,0,COUNTA(job_levels_range),1)</definedName>
    <definedName name="ea">OFFSET(job_levels_range,0,0,COUNTA(job_levels_range),1)</definedName>
    <definedName name="eaa" localSheetId="1">OFFSET(job_levels_range,0,0,COUNTA(job_levels_range),1)</definedName>
    <definedName name="eaa" localSheetId="2">OFFSET(job_levels_range,0,0,COUNTA(job_levels_range),1)</definedName>
    <definedName name="eaa" localSheetId="0">OFFSET(job_levels_range,0,0,COUNTA(job_levels_range),1)</definedName>
    <definedName name="eaa">OFFSET(job_levels_range,0,0,COUNTA(job_levels_range),1)</definedName>
    <definedName name="ee" localSheetId="1">OFFSET(job_levels_range,0,0,COUNTA(job_levels_range),1)</definedName>
    <definedName name="ee" localSheetId="2">OFFSET(job_levels_range,0,0,COUNTA(job_levels_range),1)</definedName>
    <definedName name="ee" localSheetId="0">OFFSET(job_levels_range,0,0,COUNTA(job_levels_range),1)</definedName>
    <definedName name="ee">OFFSET(job_levels_range,0,0,COUNTA(job_levels_range),1)</definedName>
    <definedName name="gg" localSheetId="1">OFFSET(job_names_range,0,0,COUNTA(job_names_range),1)</definedName>
    <definedName name="gg" localSheetId="2">OFFSET(job_names_range,0,0,COUNTA(job_names_range),1)</definedName>
    <definedName name="gg" localSheetId="0">OFFSET(job_names_range,0,0,COUNTA(job_names_range),1)</definedName>
    <definedName name="gg">OFFSET(job_names_range,0,0,COUNTA(job_names_range),1)</definedName>
    <definedName name="job_levels" localSheetId="1">OFFSET(job_levels_range,0,0,COUNTA(job_levels_range),1)</definedName>
    <definedName name="job_levels" localSheetId="2">OFFSET(job_levels_range,0,0,COUNTA(job_levels_range),1)</definedName>
    <definedName name="job_levels" localSheetId="0">OFFSET(job_levels_range,0,0,COUNTA(job_levels_range),1)</definedName>
    <definedName name="job_levels">OFFSET(job_levels_range,0,0,COUNTA(job_levels_range),1)</definedName>
    <definedName name="job_names" localSheetId="1">OFFSET(job_names_range,0,0,COUNTA(job_names_range),1)</definedName>
    <definedName name="job_names" localSheetId="2">OFFSET(job_names_range,0,0,COUNTA(job_names_range),1)</definedName>
    <definedName name="job_names" localSheetId="0">OFFSET(job_names_range,0,0,COUNTA(job_names_range),1)</definedName>
    <definedName name="job_names">OFFSET(job_names_range,0,0,COUNTA(job_names_range),1)</definedName>
    <definedName name="joblevels">'[2]Job Names'!$H$9:$H$35</definedName>
    <definedName name="jobnames">#N/A</definedName>
    <definedName name="language_list">'[2]Job Names'!$E$2:$E$5</definedName>
    <definedName name="LINNAMAASTIK">list1!$H$1:$H$5</definedName>
    <definedName name="Maalist">[2]Maakonnad!$A$1:$A$15</definedName>
    <definedName name="nm" localSheetId="1">OFFSET(job_names_range,0,0,COUNTA(job_names_range),1)</definedName>
    <definedName name="nm" localSheetId="2">OFFSET(job_names_range,0,0,COUNTA(job_names_range),1)</definedName>
    <definedName name="nm" localSheetId="0">OFFSET(job_names_range,0,0,COUNTA(job_names_range),1)</definedName>
    <definedName name="nm">OFFSET(job_names_range,0,0,COUNTA(job_names_range),1)</definedName>
    <definedName name="nn" localSheetId="1">OFFSET(job_names_range,0,0,COUNTA(job_names_range),1)</definedName>
    <definedName name="nn" localSheetId="2">OFFSET(job_names_range,0,0,COUNTA(job_names_range),1)</definedName>
    <definedName name="nn" localSheetId="0">OFFSET(job_names_range,0,0,COUNTA(job_names_range),1)</definedName>
    <definedName name="nn">OFFSET(job_names_range,0,0,COUNTA(job_names_range),1)</definedName>
    <definedName name="ppp" localSheetId="1">OFFSET(job_levels_range,0,0,COUNTA(job_levels_range),1)</definedName>
    <definedName name="ppp" localSheetId="2">OFFSET(job_levels_range,0,0,COUNTA(job_levels_range),1)</definedName>
    <definedName name="ppp" localSheetId="0">OFFSET(job_levels_range,0,0,COUNTA(job_levels_range),1)</definedName>
    <definedName name="ppp">OFFSET(job_levels_range,0,0,COUNTA(job_levels_range),1)</definedName>
    <definedName name="_xlnm.Print_Titles" localSheetId="1">'1 KOONDEELARVE'!$4:$5</definedName>
    <definedName name="_xlnm.Print_Titles" localSheetId="2">'2 TULUDE KOOND'!$4:$4</definedName>
    <definedName name="_xlnm.Print_Titles" localSheetId="3">'2.1 LK TULUD'!$3:$4</definedName>
    <definedName name="_xlnm.Print_Titles" localSheetId="5">'2.2 OMATULUD'!$3:$4</definedName>
    <definedName name="_xlnm.Print_Titles" localSheetId="6">'2.3 TOETUSED'!$2:$3</definedName>
    <definedName name="_xlnm.Print_Titles" localSheetId="7">'3 KULUD'!$3:$4</definedName>
    <definedName name="zJob">'[2]Job Families'!$D$1:$D$481</definedName>
    <definedName name="zLev">'[2]Job Families'!$E$1:$E$481</definedName>
    <definedName name="zPnt">'[2]Job Families'!$F$1:$F$481</definedName>
    <definedName name="zPntH">'[2]Job Families'!$H$1:$H$481</definedName>
    <definedName name="zPntL">'[2]Job Families'!$G$1:$G$481</definedName>
    <definedName name="test" localSheetId="1">OFFSET(job_levels_range,0,0,COUNTA(job_levels_range),1)</definedName>
    <definedName name="test" localSheetId="2">OFFSET(job_levels_range,0,0,COUNTA(job_levels_range),1)</definedName>
    <definedName name="test" localSheetId="0">OFFSET(job_levels_range,0,0,COUNTA(job_levels_range),1)</definedName>
    <definedName name="test">OFFSET(job_levels_range,0,0,COUNTA(job_levels_range),1)</definedName>
    <definedName name="test1" localSheetId="1">OFFSET(job_levels_range,0,0,COUNTA(job_levels_range),1)</definedName>
    <definedName name="test1" localSheetId="2">OFFSET(job_levels_range,0,0,COUNTA(job_levels_range),1)</definedName>
    <definedName name="test1" localSheetId="0">OFFSET(job_levels_range,0,0,COUNTA(job_levels_range),1)</definedName>
    <definedName name="test1">OFFSET(job_levels_range,0,0,COUNTA(job_levels_range),1)</definedName>
    <definedName name="v">list1!$A$1:$A$16</definedName>
    <definedName name="V1_ETTEVÕTLUSKESKKOND">list1!$B$1:$B$5</definedName>
    <definedName name="V10_SOTSIAALHOOLEKANNE">list1!$K$1:$K$5</definedName>
    <definedName name="V11_SPORT">list1!$L$1:$L$4</definedName>
    <definedName name="V12_TEHNOVÕRGUD">list1!$M$1:$M$5</definedName>
    <definedName name="V13_TERVISHOID">list1!$N$1:$N$4</definedName>
    <definedName name="V14_JUHTIMINE">list1!$O$1:$O$8</definedName>
    <definedName name="V2_HARIDUS">list1!$C$1:$C$7</definedName>
    <definedName name="V3_KESKKONNAHOID">list1!$D$1:$D$6</definedName>
    <definedName name="V4_KORRAKAITSE">list1!$E$1:$E$3</definedName>
    <definedName name="V5_KULTUUR">list1!$F$1:$F$6</definedName>
    <definedName name="V6_LIIKUVUS">list1!$G$1:$G$7</definedName>
    <definedName name="V7_LINNAMAASTIK">list1!$H$1:$H$5</definedName>
    <definedName name="V8_LINNAPLANEERIMINE">list1!$I$1:$I$7</definedName>
    <definedName name="V9_LINNAVARA">list1!$J$1:$J$6</definedName>
    <definedName name="Valdkond">list1!$A$1:$A$14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56" l="1"/>
  <c r="F39" i="56"/>
  <c r="G39" i="56"/>
  <c r="H39" i="56"/>
  <c r="E6" i="56"/>
  <c r="F6" i="56"/>
  <c r="G6" i="56"/>
  <c r="H6" i="56"/>
  <c r="E7" i="56"/>
  <c r="F7" i="56"/>
  <c r="G7" i="56"/>
  <c r="H7" i="56"/>
  <c r="E8" i="56"/>
  <c r="F8" i="56"/>
  <c r="G8" i="56"/>
  <c r="H8" i="56"/>
  <c r="E9" i="56"/>
  <c r="F9" i="56"/>
  <c r="G9" i="56"/>
  <c r="H9" i="56"/>
  <c r="E10" i="56"/>
  <c r="F10" i="56"/>
  <c r="G10" i="56"/>
  <c r="H10" i="56"/>
  <c r="E11" i="56"/>
  <c r="F11" i="56"/>
  <c r="G11" i="56"/>
  <c r="H11" i="56"/>
  <c r="E12" i="56"/>
  <c r="F12" i="56"/>
  <c r="G12" i="56"/>
  <c r="H12" i="56"/>
  <c r="E13" i="56"/>
  <c r="F13" i="56"/>
  <c r="G13" i="56"/>
  <c r="H13" i="56"/>
  <c r="E14" i="56"/>
  <c r="F14" i="56"/>
  <c r="G14" i="56"/>
  <c r="H14" i="56"/>
  <c r="E15" i="56"/>
  <c r="F15" i="56"/>
  <c r="G15" i="56"/>
  <c r="H15" i="56"/>
  <c r="E16" i="56"/>
  <c r="F16" i="56"/>
  <c r="G16" i="56"/>
  <c r="H16" i="56"/>
  <c r="E17" i="56"/>
  <c r="F17" i="56"/>
  <c r="G17" i="56"/>
  <c r="H17" i="56"/>
  <c r="E18" i="56"/>
  <c r="F18" i="56"/>
  <c r="G18" i="56"/>
  <c r="H18" i="56"/>
  <c r="E19" i="56"/>
  <c r="F19" i="56"/>
  <c r="G19" i="56"/>
  <c r="H19" i="56"/>
  <c r="E20" i="56"/>
  <c r="F20" i="56"/>
  <c r="G20" i="56"/>
  <c r="H20" i="56"/>
  <c r="E22" i="56"/>
  <c r="F22" i="56"/>
  <c r="G22" i="56"/>
  <c r="H22" i="56"/>
  <c r="E23" i="56"/>
  <c r="F23" i="56"/>
  <c r="G23" i="56"/>
  <c r="H23" i="56"/>
  <c r="E24" i="56"/>
  <c r="F24" i="56"/>
  <c r="G24" i="56"/>
  <c r="H24" i="56"/>
  <c r="E25" i="56"/>
  <c r="F25" i="56"/>
  <c r="G25" i="56"/>
  <c r="H25" i="56"/>
  <c r="E26" i="56"/>
  <c r="F26" i="56"/>
  <c r="G26" i="56"/>
  <c r="H26" i="56"/>
  <c r="E27" i="56"/>
  <c r="F27" i="56"/>
  <c r="G27" i="56"/>
  <c r="H27" i="56"/>
  <c r="E28" i="56"/>
  <c r="F28" i="56"/>
  <c r="G28" i="56"/>
  <c r="H28" i="56"/>
  <c r="E30" i="56"/>
  <c r="F30" i="56"/>
  <c r="G30" i="56"/>
  <c r="H30" i="56"/>
  <c r="E31" i="56"/>
  <c r="F31" i="56"/>
  <c r="G31" i="56"/>
  <c r="H31" i="56"/>
  <c r="E32" i="56"/>
  <c r="F32" i="56"/>
  <c r="G32" i="56"/>
  <c r="H32" i="56"/>
  <c r="E33" i="56"/>
  <c r="F33" i="56"/>
  <c r="G33" i="56"/>
  <c r="H33" i="56"/>
  <c r="E34" i="56"/>
  <c r="F34" i="56"/>
  <c r="G34" i="56"/>
  <c r="H34" i="56"/>
  <c r="E35" i="56"/>
  <c r="F35" i="56"/>
  <c r="G35" i="56"/>
  <c r="H35" i="56"/>
  <c r="E36" i="56"/>
  <c r="F36" i="56"/>
  <c r="G36" i="56"/>
  <c r="H36" i="56"/>
  <c r="H5" i="56"/>
  <c r="G5" i="56"/>
  <c r="F5" i="56"/>
  <c r="E5" i="56"/>
  <c r="J24" i="12" l="1"/>
  <c r="K24" i="12"/>
  <c r="J25" i="12"/>
  <c r="K25" i="12"/>
  <c r="J8" i="12"/>
  <c r="K8" i="12"/>
  <c r="J9" i="12"/>
  <c r="K9" i="12"/>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F84" i="52" l="1"/>
  <c r="F83" i="52"/>
  <c r="E83" i="52"/>
  <c r="E84" i="52"/>
  <c r="G50" i="52" l="1"/>
  <c r="G20" i="57" l="1"/>
  <c r="G12" i="57"/>
  <c r="G5" i="57"/>
  <c r="G18" i="57" s="1"/>
  <c r="G34" i="57" s="1"/>
  <c r="G41" i="57" s="1"/>
  <c r="E18" i="58" l="1"/>
  <c r="E17" i="58"/>
  <c r="E16" i="58"/>
  <c r="E15" i="58"/>
  <c r="D17" i="58"/>
  <c r="D16" i="58"/>
  <c r="D15" i="58"/>
  <c r="D14" i="58"/>
  <c r="E14" i="58" s="1"/>
  <c r="C6" i="58"/>
  <c r="C7" i="58"/>
  <c r="C5" i="58"/>
  <c r="C4" i="58"/>
  <c r="C3" i="58"/>
  <c r="C2" i="58"/>
  <c r="G8" i="7" l="1"/>
  <c r="G80" i="52"/>
  <c r="G71" i="52"/>
  <c r="L74" i="17"/>
  <c r="L77" i="17"/>
  <c r="L834" i="17"/>
  <c r="G27" i="52"/>
  <c r="G26" i="52"/>
  <c r="G58" i="52"/>
  <c r="G8" i="52"/>
  <c r="G83" i="52" s="1"/>
  <c r="L1473" i="17"/>
  <c r="G35" i="52" l="1"/>
  <c r="G39" i="52" s="1"/>
  <c r="G84" i="52"/>
  <c r="L314" i="17"/>
  <c r="L384" i="17"/>
  <c r="L383" i="17" s="1"/>
  <c r="C6" i="12"/>
  <c r="H6" i="55"/>
  <c r="I6" i="55"/>
  <c r="J6" i="55"/>
  <c r="K6" i="55" s="1"/>
  <c r="H9" i="55"/>
  <c r="I9" i="55" s="1"/>
  <c r="J9" i="55"/>
  <c r="K9" i="55" s="1"/>
  <c r="H11" i="55"/>
  <c r="I11" i="55"/>
  <c r="J11" i="55"/>
  <c r="K11" i="55"/>
  <c r="H12" i="55"/>
  <c r="I12" i="55"/>
  <c r="J12" i="55"/>
  <c r="K12" i="55" s="1"/>
  <c r="H14" i="55"/>
  <c r="I14" i="55"/>
  <c r="J14" i="55"/>
  <c r="K14" i="55"/>
  <c r="H16" i="55"/>
  <c r="I16" i="55"/>
  <c r="J16" i="55"/>
  <c r="K16" i="55" s="1"/>
  <c r="H17" i="55"/>
  <c r="I17" i="55"/>
  <c r="J17" i="55"/>
  <c r="K17" i="55"/>
  <c r="G16" i="55"/>
  <c r="G14" i="55" s="1"/>
  <c r="G11" i="55"/>
  <c r="G8" i="55"/>
  <c r="H8" i="55" s="1"/>
  <c r="I8" i="55" s="1"/>
  <c r="G6" i="55"/>
  <c r="G5" i="55"/>
  <c r="F17" i="55"/>
  <c r="B16" i="55"/>
  <c r="F16" i="55" s="1"/>
  <c r="F12" i="55"/>
  <c r="B11" i="55"/>
  <c r="F11" i="55" s="1"/>
  <c r="F9" i="55"/>
  <c r="B8" i="55"/>
  <c r="F8" i="55" s="1"/>
  <c r="B6" i="55"/>
  <c r="F6" i="55" s="1"/>
  <c r="J8" i="55" l="1"/>
  <c r="K8" i="55" s="1"/>
  <c r="B5" i="55"/>
  <c r="F5" i="55" s="1"/>
  <c r="J5" i="55" s="1"/>
  <c r="K5" i="55" s="1"/>
  <c r="H5" i="55"/>
  <c r="I5" i="55" s="1"/>
  <c r="B14" i="55"/>
  <c r="F14" i="55" s="1"/>
  <c r="H42" i="57" l="1"/>
  <c r="I42" i="57" s="1"/>
  <c r="F42" i="57"/>
  <c r="J42" i="57" s="1"/>
  <c r="K42" i="57" s="1"/>
  <c r="H39" i="57"/>
  <c r="I39" i="57" s="1"/>
  <c r="F39" i="57"/>
  <c r="J39" i="57" s="1"/>
  <c r="K39" i="57" s="1"/>
  <c r="H38" i="57"/>
  <c r="I38" i="57" s="1"/>
  <c r="F38" i="57"/>
  <c r="J38" i="57" s="1"/>
  <c r="K38" i="57" s="1"/>
  <c r="E36" i="57"/>
  <c r="D36" i="57"/>
  <c r="C36" i="57"/>
  <c r="B36" i="57"/>
  <c r="H36" i="57" s="1"/>
  <c r="I36" i="57" s="1"/>
  <c r="H32" i="57"/>
  <c r="I32" i="57" s="1"/>
  <c r="F32" i="57"/>
  <c r="J32" i="57" s="1"/>
  <c r="K32" i="57" s="1"/>
  <c r="H31" i="57"/>
  <c r="I31" i="57" s="1"/>
  <c r="F31" i="57"/>
  <c r="J31" i="57" s="1"/>
  <c r="K31" i="57" s="1"/>
  <c r="F30" i="57"/>
  <c r="F29" i="57"/>
  <c r="H28" i="57"/>
  <c r="I28" i="57" s="1"/>
  <c r="F28" i="57"/>
  <c r="J28" i="57" s="1"/>
  <c r="K28" i="57" s="1"/>
  <c r="F27" i="57"/>
  <c r="H25" i="57"/>
  <c r="I25" i="57" s="1"/>
  <c r="F25" i="57"/>
  <c r="J25" i="57" s="1"/>
  <c r="K25" i="57" s="1"/>
  <c r="H24" i="57"/>
  <c r="I24" i="57" s="1"/>
  <c r="F24" i="57"/>
  <c r="J24" i="57" s="1"/>
  <c r="K24" i="57" s="1"/>
  <c r="H23" i="57"/>
  <c r="I23" i="57" s="1"/>
  <c r="F23" i="57"/>
  <c r="J23" i="57" s="1"/>
  <c r="K23" i="57" s="1"/>
  <c r="H22" i="57"/>
  <c r="I22" i="57" s="1"/>
  <c r="F22" i="57"/>
  <c r="J22" i="57" s="1"/>
  <c r="K22" i="57" s="1"/>
  <c r="E20" i="57"/>
  <c r="D20" i="57"/>
  <c r="C20" i="57"/>
  <c r="B20" i="57"/>
  <c r="H20" i="57" s="1"/>
  <c r="I20" i="57" s="1"/>
  <c r="H16" i="57"/>
  <c r="I16" i="57" s="1"/>
  <c r="F16" i="57"/>
  <c r="J16" i="57" s="1"/>
  <c r="K16" i="57" s="1"/>
  <c r="H15" i="57"/>
  <c r="I15" i="57" s="1"/>
  <c r="F15" i="57"/>
  <c r="J15" i="57" s="1"/>
  <c r="K15" i="57" s="1"/>
  <c r="H14" i="57"/>
  <c r="I14" i="57" s="1"/>
  <c r="F14" i="57"/>
  <c r="J14" i="57" s="1"/>
  <c r="K14" i="57" s="1"/>
  <c r="E12" i="57"/>
  <c r="D12" i="57"/>
  <c r="C12" i="57"/>
  <c r="B12" i="57"/>
  <c r="H12" i="57" s="1"/>
  <c r="I12" i="57" s="1"/>
  <c r="H10" i="57"/>
  <c r="I10" i="57" s="1"/>
  <c r="F10" i="57"/>
  <c r="J10" i="57" s="1"/>
  <c r="K10" i="57" s="1"/>
  <c r="H9" i="57"/>
  <c r="I9" i="57" s="1"/>
  <c r="F9" i="57"/>
  <c r="J9" i="57" s="1"/>
  <c r="K9" i="57" s="1"/>
  <c r="H8" i="57"/>
  <c r="I8" i="57" s="1"/>
  <c r="F8" i="57"/>
  <c r="J8" i="57" s="1"/>
  <c r="K8" i="57" s="1"/>
  <c r="H7" i="57"/>
  <c r="I7" i="57" s="1"/>
  <c r="F7" i="57"/>
  <c r="J7" i="57" s="1"/>
  <c r="K7" i="57" s="1"/>
  <c r="E5" i="57"/>
  <c r="E18" i="57" s="1"/>
  <c r="E34" i="57" s="1"/>
  <c r="D5" i="57"/>
  <c r="C5" i="57"/>
  <c r="C18" i="57" s="1"/>
  <c r="B5" i="57"/>
  <c r="H5" i="57" s="1"/>
  <c r="I5" i="57" s="1"/>
  <c r="G1883" i="17"/>
  <c r="H1883" i="17"/>
  <c r="I1883" i="17"/>
  <c r="J1883" i="17"/>
  <c r="L1883" i="17"/>
  <c r="G1885" i="17"/>
  <c r="H1885" i="17"/>
  <c r="I1885" i="17"/>
  <c r="J1885" i="17"/>
  <c r="L1885" i="17"/>
  <c r="G1886" i="17"/>
  <c r="H1886" i="17"/>
  <c r="I1886" i="17"/>
  <c r="J1886" i="17"/>
  <c r="L1886" i="17"/>
  <c r="G1887" i="17"/>
  <c r="H1887" i="17"/>
  <c r="I1887" i="17"/>
  <c r="J1887" i="17"/>
  <c r="L1887" i="17"/>
  <c r="G1888" i="17"/>
  <c r="H1888" i="17"/>
  <c r="I1888" i="17"/>
  <c r="J1888" i="17"/>
  <c r="L1888" i="17"/>
  <c r="G1889" i="17"/>
  <c r="H1889" i="17"/>
  <c r="I1889" i="17"/>
  <c r="J1889" i="17"/>
  <c r="L1889" i="17"/>
  <c r="G1890" i="17"/>
  <c r="H1890" i="17"/>
  <c r="I1890" i="17"/>
  <c r="J1890" i="17"/>
  <c r="L1890" i="17"/>
  <c r="G1892" i="17"/>
  <c r="H1892" i="17"/>
  <c r="I1892" i="17"/>
  <c r="J1892" i="17"/>
  <c r="L1892" i="17"/>
  <c r="G1919" i="17"/>
  <c r="H1919" i="17"/>
  <c r="I1919" i="17"/>
  <c r="J1919" i="17"/>
  <c r="L1919" i="17"/>
  <c r="G1920" i="17"/>
  <c r="H1920" i="17"/>
  <c r="I1920" i="17"/>
  <c r="J1920" i="17"/>
  <c r="L1920" i="17"/>
  <c r="G1921" i="17"/>
  <c r="H1921" i="17"/>
  <c r="I1921" i="17"/>
  <c r="J1921" i="17"/>
  <c r="L1921" i="17"/>
  <c r="G1922" i="17"/>
  <c r="H1922" i="17"/>
  <c r="I1922" i="17"/>
  <c r="J1922" i="17"/>
  <c r="L1922" i="17"/>
  <c r="G1923" i="17"/>
  <c r="H1923" i="17"/>
  <c r="I1923" i="17"/>
  <c r="J1923" i="17"/>
  <c r="L1923" i="17"/>
  <c r="G1924" i="17"/>
  <c r="H1924" i="17"/>
  <c r="I1924" i="17"/>
  <c r="J1924" i="17"/>
  <c r="L1924" i="17"/>
  <c r="G1925" i="17"/>
  <c r="H1925" i="17"/>
  <c r="I1925" i="17"/>
  <c r="J1925" i="17"/>
  <c r="L1925" i="17"/>
  <c r="G1926" i="17"/>
  <c r="H1926" i="17"/>
  <c r="I1926" i="17"/>
  <c r="J1926" i="17"/>
  <c r="L1926" i="17"/>
  <c r="G1927" i="17"/>
  <c r="H1927" i="17"/>
  <c r="I1927" i="17"/>
  <c r="J1927" i="17"/>
  <c r="L1927" i="17"/>
  <c r="G1934" i="17"/>
  <c r="G1943" i="17"/>
  <c r="G1944" i="17"/>
  <c r="G1945" i="17"/>
  <c r="G1946" i="17"/>
  <c r="G1947" i="17"/>
  <c r="G1951" i="17"/>
  <c r="G1954" i="17"/>
  <c r="H1954" i="17"/>
  <c r="I1954" i="17"/>
  <c r="J1954" i="17"/>
  <c r="L1954" i="17"/>
  <c r="G1955" i="17"/>
  <c r="H1955" i="17"/>
  <c r="I1955" i="17"/>
  <c r="J1955" i="17"/>
  <c r="L1955" i="17"/>
  <c r="G1956" i="17"/>
  <c r="H1956" i="17"/>
  <c r="I1956" i="17"/>
  <c r="J1956" i="17"/>
  <c r="L1956" i="17"/>
  <c r="G1957" i="17"/>
  <c r="H1957" i="17"/>
  <c r="I1957" i="17"/>
  <c r="J1957" i="17"/>
  <c r="L1957" i="17"/>
  <c r="G1958" i="17"/>
  <c r="H1958" i="17"/>
  <c r="I1958" i="17"/>
  <c r="J1958" i="17"/>
  <c r="L1958" i="17"/>
  <c r="G1959" i="17"/>
  <c r="H1959" i="17"/>
  <c r="I1959" i="17"/>
  <c r="J1959" i="17"/>
  <c r="L1959" i="17"/>
  <c r="G1960" i="17"/>
  <c r="H1960" i="17"/>
  <c r="I1960" i="17"/>
  <c r="J1960" i="17"/>
  <c r="L1960" i="17"/>
  <c r="G1961" i="17"/>
  <c r="H1961" i="17"/>
  <c r="I1961" i="17"/>
  <c r="J1961" i="17"/>
  <c r="L1961" i="17"/>
  <c r="G1966" i="17"/>
  <c r="G1967" i="17"/>
  <c r="G1969" i="17"/>
  <c r="G1974" i="17"/>
  <c r="G1976" i="17"/>
  <c r="G1977" i="17"/>
  <c r="G1978" i="17"/>
  <c r="G1979" i="17"/>
  <c r="G1980" i="17"/>
  <c r="G1984" i="17"/>
  <c r="G1990" i="17"/>
  <c r="H1990" i="17"/>
  <c r="I1990" i="17"/>
  <c r="J1990" i="17"/>
  <c r="L1990" i="17"/>
  <c r="G1991" i="17"/>
  <c r="H1991" i="17"/>
  <c r="I1991" i="17"/>
  <c r="J1991" i="17"/>
  <c r="L1991" i="17"/>
  <c r="G1992" i="17"/>
  <c r="H1992" i="17"/>
  <c r="J1992" i="17"/>
  <c r="L1992" i="17"/>
  <c r="G1993" i="17"/>
  <c r="H1993" i="17"/>
  <c r="J1993" i="17"/>
  <c r="L1993" i="17"/>
  <c r="G1994" i="17"/>
  <c r="J1994" i="17"/>
  <c r="L1994" i="17"/>
  <c r="G1995" i="17"/>
  <c r="J1995" i="17"/>
  <c r="L1995" i="17"/>
  <c r="G1997" i="17"/>
  <c r="H1997" i="17"/>
  <c r="J1997" i="17"/>
  <c r="L1997" i="17"/>
  <c r="G1998" i="17"/>
  <c r="H1998" i="17"/>
  <c r="I1998" i="17"/>
  <c r="J1998" i="17"/>
  <c r="L1998" i="17"/>
  <c r="G2000" i="17"/>
  <c r="H2000" i="17"/>
  <c r="I2000" i="17"/>
  <c r="J2000" i="17"/>
  <c r="L2000" i="17"/>
  <c r="G2001" i="17"/>
  <c r="H2001" i="17"/>
  <c r="I2001" i="17"/>
  <c r="J2001" i="17"/>
  <c r="L2001" i="17"/>
  <c r="G2002" i="17"/>
  <c r="H2002" i="17"/>
  <c r="I2002" i="17"/>
  <c r="J2002" i="17"/>
  <c r="L2002" i="17"/>
  <c r="G2003" i="17"/>
  <c r="H2003" i="17"/>
  <c r="I2003" i="17"/>
  <c r="J2003" i="17"/>
  <c r="L2003" i="17"/>
  <c r="G2004" i="17"/>
  <c r="H2004" i="17"/>
  <c r="I2004" i="17"/>
  <c r="J2004" i="17"/>
  <c r="L2004" i="17"/>
  <c r="G2005" i="17"/>
  <c r="J2005" i="17"/>
  <c r="L2005" i="17"/>
  <c r="G2006" i="17"/>
  <c r="J2006" i="17"/>
  <c r="L2006" i="17"/>
  <c r="G2007" i="17"/>
  <c r="H2007" i="17"/>
  <c r="J2007" i="17"/>
  <c r="L2007" i="17"/>
  <c r="G2008" i="17"/>
  <c r="H2008" i="17"/>
  <c r="I2008" i="17"/>
  <c r="J2008" i="17"/>
  <c r="L2008" i="17"/>
  <c r="G2009" i="17"/>
  <c r="H2009" i="17"/>
  <c r="J2009" i="17"/>
  <c r="L2009" i="17"/>
  <c r="G2010" i="17"/>
  <c r="I2010" i="17"/>
  <c r="J2010" i="17"/>
  <c r="L2010" i="17"/>
  <c r="G2011" i="17"/>
  <c r="H2011" i="17"/>
  <c r="J2011" i="17"/>
  <c r="L2011" i="17"/>
  <c r="M1895" i="17"/>
  <c r="M1930" i="17"/>
  <c r="M1940" i="17"/>
  <c r="M1964" i="17"/>
  <c r="M1965" i="17"/>
  <c r="M1988" i="17"/>
  <c r="M1989" i="17"/>
  <c r="M1999" i="17"/>
  <c r="M1996" i="17"/>
  <c r="M1937" i="17"/>
  <c r="M1897" i="17"/>
  <c r="M1896" i="17"/>
  <c r="O1861" i="17"/>
  <c r="M1861" i="17"/>
  <c r="O1851" i="17"/>
  <c r="M1851" i="17"/>
  <c r="M1847" i="17"/>
  <c r="M1846" i="17"/>
  <c r="N1846" i="17" s="1"/>
  <c r="M1845" i="17"/>
  <c r="M1844" i="17"/>
  <c r="M1843" i="17"/>
  <c r="M1842" i="17"/>
  <c r="N1842" i="17" s="1"/>
  <c r="M1841" i="17"/>
  <c r="M1840" i="17"/>
  <c r="M1839" i="17"/>
  <c r="N1839" i="17" s="1"/>
  <c r="M1838" i="17"/>
  <c r="N1838" i="17" s="1"/>
  <c r="M1837" i="17"/>
  <c r="N1837" i="17" s="1"/>
  <c r="M1836" i="17"/>
  <c r="N1836" i="17" s="1"/>
  <c r="M1832" i="17"/>
  <c r="M1831" i="17"/>
  <c r="N1831" i="17" s="1"/>
  <c r="M1830" i="17"/>
  <c r="M1829" i="17"/>
  <c r="M1828" i="17"/>
  <c r="M1827" i="17"/>
  <c r="M1826" i="17"/>
  <c r="M1825" i="17"/>
  <c r="M1824" i="17"/>
  <c r="M1823" i="17"/>
  <c r="M1822" i="17"/>
  <c r="N1822" i="17" s="1"/>
  <c r="M1821" i="17"/>
  <c r="M1820" i="17"/>
  <c r="N1820" i="17" s="1"/>
  <c r="M1819" i="17"/>
  <c r="M1818" i="17"/>
  <c r="N1818" i="17" s="1"/>
  <c r="M1817" i="17"/>
  <c r="M1816" i="17"/>
  <c r="N1816" i="17" s="1"/>
  <c r="M1815" i="17"/>
  <c r="M1814" i="17"/>
  <c r="N1814" i="17" s="1"/>
  <c r="M1813" i="17"/>
  <c r="M1812" i="17"/>
  <c r="N1812" i="17" s="1"/>
  <c r="M1811" i="17"/>
  <c r="M1810" i="17"/>
  <c r="N1810" i="17" s="1"/>
  <c r="M1809" i="17"/>
  <c r="M1808" i="17"/>
  <c r="N1808" i="17" s="1"/>
  <c r="M1807" i="17"/>
  <c r="N1807" i="17" s="1"/>
  <c r="M1806" i="17"/>
  <c r="N1806" i="17" s="1"/>
  <c r="M1805" i="17"/>
  <c r="N1805" i="17" s="1"/>
  <c r="M1804" i="17"/>
  <c r="N1804" i="17" s="1"/>
  <c r="M1803" i="17"/>
  <c r="M1801" i="17"/>
  <c r="N1801" i="17" s="1"/>
  <c r="M1800" i="17"/>
  <c r="M1798" i="17"/>
  <c r="M1797" i="17"/>
  <c r="N1797" i="17" s="1"/>
  <c r="M1795" i="17"/>
  <c r="M1794" i="17"/>
  <c r="N1794" i="17" s="1"/>
  <c r="M1793" i="17"/>
  <c r="N1793" i="17" s="1"/>
  <c r="M1792" i="17"/>
  <c r="M1791" i="17"/>
  <c r="M1790" i="17"/>
  <c r="N1790" i="17" s="1"/>
  <c r="M1789" i="17"/>
  <c r="N1789" i="17" s="1"/>
  <c r="M1788" i="17"/>
  <c r="M1785" i="17"/>
  <c r="M1784" i="17"/>
  <c r="N1784" i="17" s="1"/>
  <c r="M1783" i="17"/>
  <c r="N1783" i="17" s="1"/>
  <c r="M1782" i="17"/>
  <c r="M1781" i="17"/>
  <c r="M1778" i="17"/>
  <c r="M1777" i="17"/>
  <c r="M1776" i="17"/>
  <c r="M1774" i="17"/>
  <c r="N1774" i="17" s="1"/>
  <c r="M1773" i="17"/>
  <c r="M1769" i="17"/>
  <c r="M1766" i="17"/>
  <c r="M1763" i="17"/>
  <c r="N1763" i="17" s="1"/>
  <c r="M1761" i="17"/>
  <c r="M1760" i="17"/>
  <c r="M1759" i="17"/>
  <c r="M1758" i="17"/>
  <c r="M1757" i="17"/>
  <c r="N1757" i="17" s="1"/>
  <c r="M1756" i="17"/>
  <c r="M1755" i="17"/>
  <c r="N1755" i="17" s="1"/>
  <c r="M1754" i="17"/>
  <c r="M1753" i="17"/>
  <c r="M1752" i="17"/>
  <c r="M1751" i="17"/>
  <c r="M1750" i="17"/>
  <c r="N1750" i="17" s="1"/>
  <c r="M1749" i="17"/>
  <c r="M1748" i="17"/>
  <c r="N1748" i="17" s="1"/>
  <c r="M1747" i="17"/>
  <c r="M1746" i="17"/>
  <c r="N1746" i="17" s="1"/>
  <c r="M1745" i="17"/>
  <c r="M1744" i="17"/>
  <c r="N1744" i="17" s="1"/>
  <c r="M1743" i="17"/>
  <c r="M1742" i="17"/>
  <c r="N1742" i="17" s="1"/>
  <c r="M1741" i="17"/>
  <c r="M1740" i="17"/>
  <c r="N1740" i="17" s="1"/>
  <c r="M1739" i="17"/>
  <c r="N1739" i="17" s="1"/>
  <c r="M1738" i="17"/>
  <c r="M1736" i="17"/>
  <c r="M1735" i="17"/>
  <c r="N1735" i="17" s="1"/>
  <c r="M1733" i="17"/>
  <c r="M1732" i="17"/>
  <c r="N1732" i="17" s="1"/>
  <c r="M1731" i="17"/>
  <c r="N1731" i="17" s="1"/>
  <c r="M1730" i="17"/>
  <c r="M1729" i="17"/>
  <c r="M1728" i="17"/>
  <c r="N1728" i="17" s="1"/>
  <c r="M1727" i="17"/>
  <c r="N1727" i="17" s="1"/>
  <c r="M1726" i="17"/>
  <c r="M1723" i="17"/>
  <c r="M1722" i="17"/>
  <c r="N1722" i="17" s="1"/>
  <c r="M1721" i="17"/>
  <c r="N1721" i="17" s="1"/>
  <c r="M1720" i="17"/>
  <c r="M1717" i="17"/>
  <c r="M1716" i="17"/>
  <c r="N1716" i="17" s="1"/>
  <c r="M1715" i="17"/>
  <c r="N1715" i="17" s="1"/>
  <c r="M1713" i="17"/>
  <c r="M1708" i="17"/>
  <c r="N1708" i="17" s="1"/>
  <c r="M1706" i="17"/>
  <c r="M1705" i="17"/>
  <c r="M1704" i="17"/>
  <c r="M1703" i="17"/>
  <c r="M1702" i="17"/>
  <c r="N1702" i="17" s="1"/>
  <c r="M1701" i="17"/>
  <c r="M1700" i="17"/>
  <c r="N1700" i="17" s="1"/>
  <c r="M1699" i="17"/>
  <c r="N1699" i="17" s="1"/>
  <c r="M1698" i="17"/>
  <c r="M1697" i="17"/>
  <c r="N1697" i="17" s="1"/>
  <c r="M1696" i="17"/>
  <c r="M1695" i="17"/>
  <c r="N1695" i="17" s="1"/>
  <c r="M1694" i="17"/>
  <c r="M1693" i="17"/>
  <c r="M1692" i="17"/>
  <c r="N1692" i="17" s="1"/>
  <c r="M1691" i="17"/>
  <c r="N1691" i="17" s="1"/>
  <c r="M1690" i="17"/>
  <c r="M1689" i="17"/>
  <c r="N1689" i="17" s="1"/>
  <c r="M1688" i="17"/>
  <c r="M1687" i="17"/>
  <c r="N1687" i="17" s="1"/>
  <c r="M1686" i="17"/>
  <c r="M1685" i="17"/>
  <c r="M1684" i="17"/>
  <c r="N1684" i="17" s="1"/>
  <c r="M1683" i="17"/>
  <c r="M1682" i="17"/>
  <c r="N1682" i="17" s="1"/>
  <c r="M1681" i="17"/>
  <c r="N1681" i="17" s="1"/>
  <c r="M1680" i="17"/>
  <c r="M1678" i="17"/>
  <c r="M1677" i="17"/>
  <c r="N1677" i="17" s="1"/>
  <c r="M1675" i="17"/>
  <c r="M1674" i="17"/>
  <c r="N1674" i="17" s="1"/>
  <c r="M1673" i="17"/>
  <c r="N1673" i="17" s="1"/>
  <c r="M1672" i="17"/>
  <c r="M1671" i="17"/>
  <c r="M1670" i="17"/>
  <c r="N1670" i="17" s="1"/>
  <c r="M1669" i="17"/>
  <c r="N1669" i="17" s="1"/>
  <c r="M1668" i="17"/>
  <c r="M1667" i="17"/>
  <c r="M1666" i="17"/>
  <c r="N1666" i="17" s="1"/>
  <c r="M1665" i="17"/>
  <c r="N1665" i="17" s="1"/>
  <c r="M1664" i="17"/>
  <c r="M1662" i="17"/>
  <c r="M1661" i="17"/>
  <c r="N1661" i="17" s="1"/>
  <c r="M1660" i="17"/>
  <c r="N1660" i="17" s="1"/>
  <c r="M1659" i="17"/>
  <c r="M1657" i="17"/>
  <c r="M1656" i="17"/>
  <c r="N1656" i="17" s="1"/>
  <c r="M1655" i="17"/>
  <c r="N1655" i="17" s="1"/>
  <c r="M1654" i="17"/>
  <c r="M1652" i="17"/>
  <c r="M1650" i="17"/>
  <c r="M1649" i="17"/>
  <c r="N1649" i="17" s="1"/>
  <c r="M1648" i="17"/>
  <c r="N1648" i="17" s="1"/>
  <c r="M1647" i="17"/>
  <c r="M1644" i="17"/>
  <c r="M1643" i="17"/>
  <c r="N1643" i="17" s="1"/>
  <c r="M1642" i="17"/>
  <c r="N1642" i="17" s="1"/>
  <c r="M1641" i="17"/>
  <c r="M1637" i="17"/>
  <c r="M1632" i="17"/>
  <c r="N1632" i="17" s="1"/>
  <c r="M1630" i="17"/>
  <c r="M1629" i="17"/>
  <c r="M1628" i="17"/>
  <c r="M1627" i="17"/>
  <c r="M1626" i="17"/>
  <c r="N1626" i="17" s="1"/>
  <c r="M1625" i="17"/>
  <c r="M1624" i="17"/>
  <c r="N1624" i="17" s="1"/>
  <c r="M1623" i="17"/>
  <c r="M1622" i="17"/>
  <c r="N1622" i="17" s="1"/>
  <c r="M1621" i="17"/>
  <c r="M1620" i="17"/>
  <c r="N1620" i="17" s="1"/>
  <c r="M1619" i="17"/>
  <c r="N1619" i="17" s="1"/>
  <c r="M1618" i="17"/>
  <c r="M1617" i="17"/>
  <c r="N1617" i="17" s="1"/>
  <c r="M1616" i="17"/>
  <c r="M1615" i="17"/>
  <c r="N1615" i="17" s="1"/>
  <c r="M1614" i="17"/>
  <c r="M1613" i="17"/>
  <c r="M1612" i="17"/>
  <c r="M1611" i="17"/>
  <c r="N1611" i="17" s="1"/>
  <c r="M1609" i="17"/>
  <c r="M1608" i="17"/>
  <c r="N1608" i="17" s="1"/>
  <c r="M1607" i="17"/>
  <c r="M1606" i="17"/>
  <c r="N1606" i="17" s="1"/>
  <c r="M1605" i="17"/>
  <c r="N1605" i="17" s="1"/>
  <c r="M1604" i="17"/>
  <c r="N1604" i="17" s="1"/>
  <c r="M1603" i="17"/>
  <c r="M1600" i="17"/>
  <c r="M1598" i="17"/>
  <c r="M1597" i="17"/>
  <c r="N1597" i="17" s="1"/>
  <c r="M1595" i="17"/>
  <c r="M1594" i="17"/>
  <c r="N1594" i="17" s="1"/>
  <c r="M1593" i="17"/>
  <c r="N1593" i="17" s="1"/>
  <c r="M1592" i="17"/>
  <c r="M1591" i="17"/>
  <c r="M1590" i="17"/>
  <c r="N1590" i="17" s="1"/>
  <c r="M1589" i="17"/>
  <c r="N1589" i="17" s="1"/>
  <c r="M1588" i="17"/>
  <c r="M1586" i="17"/>
  <c r="M1584" i="17"/>
  <c r="M1583" i="17"/>
  <c r="N1583" i="17" s="1"/>
  <c r="M1582" i="17"/>
  <c r="N1582" i="17" s="1"/>
  <c r="M1581" i="17"/>
  <c r="M1578" i="17"/>
  <c r="M1577" i="17"/>
  <c r="N1577" i="17" s="1"/>
  <c r="M1576" i="17"/>
  <c r="N1576" i="17" s="1"/>
  <c r="M1574" i="17"/>
  <c r="M1569" i="17"/>
  <c r="N1569" i="17" s="1"/>
  <c r="M1567" i="17"/>
  <c r="M1566" i="17"/>
  <c r="M1565" i="17"/>
  <c r="M1564" i="17"/>
  <c r="M1563" i="17"/>
  <c r="N1563" i="17" s="1"/>
  <c r="M1562" i="17"/>
  <c r="M1561" i="17"/>
  <c r="N1561" i="17" s="1"/>
  <c r="M1560" i="17"/>
  <c r="N1560" i="17" s="1"/>
  <c r="M1559" i="17"/>
  <c r="M1558" i="17"/>
  <c r="N1558" i="17" s="1"/>
  <c r="M1557" i="17"/>
  <c r="M1556" i="17"/>
  <c r="N1556" i="17" s="1"/>
  <c r="M1555" i="17"/>
  <c r="M1554" i="17"/>
  <c r="N1554" i="17" s="1"/>
  <c r="M1553" i="17"/>
  <c r="M1552" i="17"/>
  <c r="N1552" i="17" s="1"/>
  <c r="M1551" i="17"/>
  <c r="M1550" i="17"/>
  <c r="M1549" i="17"/>
  <c r="M1548" i="17"/>
  <c r="N1548" i="17" s="1"/>
  <c r="M1547" i="17"/>
  <c r="M1546" i="17"/>
  <c r="N1546" i="17" s="1"/>
  <c r="M1545" i="17"/>
  <c r="N1545" i="17" s="1"/>
  <c r="M1544" i="17"/>
  <c r="N1544" i="17" s="1"/>
  <c r="M1543" i="17"/>
  <c r="N1543" i="17" s="1"/>
  <c r="M1542" i="17"/>
  <c r="M1541" i="17"/>
  <c r="N1541" i="17" s="1"/>
  <c r="M1540" i="17"/>
  <c r="N1540" i="17" s="1"/>
  <c r="M1539" i="17"/>
  <c r="M1537" i="17"/>
  <c r="M1536" i="17"/>
  <c r="N1536" i="17" s="1"/>
  <c r="M1535" i="17"/>
  <c r="N1535" i="17" s="1"/>
  <c r="M1533" i="17"/>
  <c r="M1532" i="17"/>
  <c r="N1532" i="17" s="1"/>
  <c r="M1531" i="17"/>
  <c r="N1531" i="17" s="1"/>
  <c r="M1530" i="17"/>
  <c r="M1529" i="17"/>
  <c r="M1528" i="17"/>
  <c r="N1528" i="17" s="1"/>
  <c r="M1527" i="17"/>
  <c r="N1527" i="17" s="1"/>
  <c r="M1526" i="17"/>
  <c r="M1524" i="17"/>
  <c r="M1523" i="17"/>
  <c r="N1523" i="17" s="1"/>
  <c r="M1522" i="17"/>
  <c r="N1522" i="17" s="1"/>
  <c r="M1521" i="17"/>
  <c r="M1519" i="17"/>
  <c r="M1517" i="17"/>
  <c r="M1516" i="17"/>
  <c r="N1516" i="17" s="1"/>
  <c r="M1515" i="17"/>
  <c r="N1515" i="17" s="1"/>
  <c r="M1514" i="17"/>
  <c r="M1511" i="17"/>
  <c r="M1510" i="17"/>
  <c r="N1510" i="17" s="1"/>
  <c r="M1509" i="17"/>
  <c r="N1509" i="17" s="1"/>
  <c r="M1508" i="17"/>
  <c r="M1505" i="17"/>
  <c r="M1504" i="17"/>
  <c r="N1504" i="17" s="1"/>
  <c r="M1503" i="17"/>
  <c r="N1503" i="17" s="1"/>
  <c r="M1501" i="17"/>
  <c r="M1496" i="17"/>
  <c r="N1496" i="17" s="1"/>
  <c r="M1494" i="17"/>
  <c r="M1493" i="17"/>
  <c r="M1492" i="17"/>
  <c r="M1491" i="17"/>
  <c r="M1490" i="17"/>
  <c r="N1490" i="17" s="1"/>
  <c r="M1489" i="17"/>
  <c r="M1488" i="17"/>
  <c r="N1488" i="17" s="1"/>
  <c r="M1487" i="17"/>
  <c r="M1486" i="17"/>
  <c r="N1486" i="17" s="1"/>
  <c r="M1485" i="17"/>
  <c r="M1484" i="17"/>
  <c r="N1484" i="17" s="1"/>
  <c r="M1483" i="17"/>
  <c r="N1483" i="17" s="1"/>
  <c r="M1482" i="17"/>
  <c r="M1481" i="17"/>
  <c r="N1481" i="17" s="1"/>
  <c r="M1480" i="17"/>
  <c r="M1479" i="17"/>
  <c r="N1479" i="17" s="1"/>
  <c r="M1478" i="17"/>
  <c r="M1477" i="17"/>
  <c r="N1477" i="17" s="1"/>
  <c r="M1476" i="17"/>
  <c r="M1475" i="17"/>
  <c r="N1475" i="17" s="1"/>
  <c r="M1474" i="17"/>
  <c r="M1473" i="17"/>
  <c r="N1473" i="17" s="1"/>
  <c r="M1472" i="17"/>
  <c r="N1472" i="17" s="1"/>
  <c r="M1471" i="17"/>
  <c r="M1469" i="17"/>
  <c r="M1468" i="17"/>
  <c r="N1468" i="17" s="1"/>
  <c r="M1466" i="17"/>
  <c r="M1465" i="17"/>
  <c r="N1465" i="17" s="1"/>
  <c r="M1464" i="17"/>
  <c r="N1464" i="17" s="1"/>
  <c r="M1463" i="17"/>
  <c r="M1462" i="17"/>
  <c r="M1459" i="17"/>
  <c r="M1456" i="17"/>
  <c r="M1455" i="17"/>
  <c r="N1455" i="17" s="1"/>
  <c r="M1454" i="17"/>
  <c r="N1454" i="17" s="1"/>
  <c r="M1453" i="17"/>
  <c r="M1450" i="17"/>
  <c r="M1445" i="17"/>
  <c r="N1445" i="17" s="1"/>
  <c r="M1443" i="17"/>
  <c r="M1442" i="17"/>
  <c r="M1441" i="17"/>
  <c r="M1440" i="17"/>
  <c r="M1439" i="17"/>
  <c r="N1439" i="17" s="1"/>
  <c r="M1438" i="17"/>
  <c r="M1437" i="17"/>
  <c r="N1437" i="17" s="1"/>
  <c r="M1436" i="17"/>
  <c r="N1436" i="17" s="1"/>
  <c r="M1435" i="17"/>
  <c r="M1434" i="17"/>
  <c r="N1434" i="17" s="1"/>
  <c r="M1433" i="17"/>
  <c r="N1433" i="17" s="1"/>
  <c r="M1432" i="17"/>
  <c r="M1431" i="17"/>
  <c r="N1431" i="17" s="1"/>
  <c r="M1430" i="17"/>
  <c r="M1429" i="17"/>
  <c r="N1429" i="17" s="1"/>
  <c r="M1428" i="17"/>
  <c r="N1428" i="17" s="1"/>
  <c r="M1427" i="17"/>
  <c r="M1426" i="17"/>
  <c r="N1426" i="17" s="1"/>
  <c r="M1425" i="17"/>
  <c r="M1424" i="17"/>
  <c r="N1424" i="17" s="1"/>
  <c r="M1423" i="17"/>
  <c r="M1422" i="17"/>
  <c r="N1422" i="17" s="1"/>
  <c r="M1421" i="17"/>
  <c r="M1420" i="17"/>
  <c r="N1420" i="17" s="1"/>
  <c r="M1419" i="17"/>
  <c r="M1418" i="17"/>
  <c r="N1418" i="17" s="1"/>
  <c r="M1417" i="17"/>
  <c r="M1416" i="17"/>
  <c r="N1416" i="17" s="1"/>
  <c r="M1415" i="17"/>
  <c r="M1414" i="17"/>
  <c r="N1414" i="17" s="1"/>
  <c r="M1413" i="17"/>
  <c r="M1412" i="17"/>
  <c r="M1411" i="17"/>
  <c r="M1410" i="17"/>
  <c r="N1410" i="17" s="1"/>
  <c r="M1409" i="17"/>
  <c r="M1408" i="17"/>
  <c r="N1408" i="17" s="1"/>
  <c r="M1407" i="17"/>
  <c r="N1407" i="17" s="1"/>
  <c r="M1406" i="17"/>
  <c r="N1406" i="17" s="1"/>
  <c r="M1405" i="17"/>
  <c r="M1404" i="17"/>
  <c r="N1404" i="17" s="1"/>
  <c r="M1403" i="17"/>
  <c r="N1403" i="17" s="1"/>
  <c r="M1402" i="17"/>
  <c r="M1400" i="17"/>
  <c r="M1399" i="17"/>
  <c r="N1399" i="17" s="1"/>
  <c r="M1398" i="17"/>
  <c r="N1398" i="17" s="1"/>
  <c r="M1396" i="17"/>
  <c r="M1395" i="17"/>
  <c r="N1395" i="17" s="1"/>
  <c r="M1394" i="17"/>
  <c r="N1394" i="17" s="1"/>
  <c r="M1393" i="17"/>
  <c r="M1392" i="17"/>
  <c r="M1391" i="17"/>
  <c r="N1391" i="17" s="1"/>
  <c r="M1390" i="17"/>
  <c r="N1390" i="17" s="1"/>
  <c r="M1389" i="17"/>
  <c r="M1387" i="17"/>
  <c r="M1386" i="17"/>
  <c r="N1386" i="17" s="1"/>
  <c r="M1385" i="17"/>
  <c r="N1385" i="17" s="1"/>
  <c r="M1384" i="17"/>
  <c r="M1381" i="17"/>
  <c r="M1380" i="17"/>
  <c r="N1380" i="17" s="1"/>
  <c r="M1379" i="17"/>
  <c r="N1379" i="17" s="1"/>
  <c r="M1378" i="17"/>
  <c r="M1375" i="17"/>
  <c r="M1374" i="17"/>
  <c r="N1374" i="17" s="1"/>
  <c r="M1373" i="17"/>
  <c r="N1373" i="17" s="1"/>
  <c r="M1372" i="17"/>
  <c r="M1371" i="17"/>
  <c r="M1367" i="17"/>
  <c r="M1364" i="17"/>
  <c r="N1364" i="17" s="1"/>
  <c r="M1363" i="17"/>
  <c r="N1363" i="17" s="1"/>
  <c r="M1360" i="17"/>
  <c r="N1360" i="17" s="1"/>
  <c r="M1358" i="17"/>
  <c r="M1357" i="17"/>
  <c r="M1356" i="17"/>
  <c r="M1355" i="17"/>
  <c r="M1354" i="17"/>
  <c r="N1354" i="17" s="1"/>
  <c r="M1353" i="17"/>
  <c r="M1352" i="17"/>
  <c r="N1352" i="17" s="1"/>
  <c r="M1351" i="17"/>
  <c r="M1350" i="17"/>
  <c r="N1350" i="17" s="1"/>
  <c r="M1349" i="17"/>
  <c r="M1348" i="17"/>
  <c r="N1348" i="17" s="1"/>
  <c r="M1347" i="17"/>
  <c r="M1346" i="17"/>
  <c r="N1346" i="17" s="1"/>
  <c r="M1345" i="17"/>
  <c r="M1344" i="17"/>
  <c r="N1344" i="17" s="1"/>
  <c r="M1343" i="17"/>
  <c r="M1342" i="17"/>
  <c r="N1342" i="17" s="1"/>
  <c r="M1341" i="17"/>
  <c r="M1340" i="17"/>
  <c r="N1340" i="17" s="1"/>
  <c r="M1339" i="17"/>
  <c r="M1338" i="17"/>
  <c r="N1338" i="17" s="1"/>
  <c r="M1337" i="17"/>
  <c r="N1337" i="17" s="1"/>
  <c r="M1336" i="17"/>
  <c r="M1334" i="17"/>
  <c r="M1333" i="17"/>
  <c r="N1333" i="17" s="1"/>
  <c r="M1332" i="17"/>
  <c r="N1332" i="17" s="1"/>
  <c r="M1330" i="17"/>
  <c r="M1329" i="17"/>
  <c r="N1329" i="17" s="1"/>
  <c r="M1328" i="17"/>
  <c r="N1328" i="17" s="1"/>
  <c r="M1327" i="17"/>
  <c r="M1326" i="17"/>
  <c r="M1325" i="17"/>
  <c r="N1325" i="17" s="1"/>
  <c r="M1324" i="17"/>
  <c r="N1324" i="17" s="1"/>
  <c r="M1323" i="17"/>
  <c r="M1320" i="17"/>
  <c r="M1319" i="17"/>
  <c r="M1318" i="17"/>
  <c r="M1317" i="17"/>
  <c r="M1316" i="17"/>
  <c r="N1316" i="17" s="1"/>
  <c r="M1315" i="17"/>
  <c r="N1315" i="17" s="1"/>
  <c r="M1314" i="17"/>
  <c r="M1311" i="17"/>
  <c r="M1310" i="17"/>
  <c r="N1310" i="17" s="1"/>
  <c r="M1309" i="17"/>
  <c r="N1309" i="17" s="1"/>
  <c r="M1307" i="17"/>
  <c r="M1302" i="17"/>
  <c r="N1302" i="17" s="1"/>
  <c r="M1300" i="17"/>
  <c r="M1299" i="17"/>
  <c r="M1298" i="17"/>
  <c r="M1297" i="17"/>
  <c r="M1296" i="17"/>
  <c r="M1295" i="17"/>
  <c r="M1294" i="17"/>
  <c r="M1293" i="17"/>
  <c r="M1292" i="17"/>
  <c r="N1292" i="17" s="1"/>
  <c r="M1291" i="17"/>
  <c r="N1291" i="17" s="1"/>
  <c r="M1290" i="17"/>
  <c r="M1289" i="17"/>
  <c r="N1289" i="17" s="1"/>
  <c r="M1288" i="17"/>
  <c r="M1287" i="17"/>
  <c r="N1287" i="17" s="1"/>
  <c r="M1286" i="17"/>
  <c r="M1285" i="17"/>
  <c r="N1285" i="17" s="1"/>
  <c r="M1284" i="17"/>
  <c r="M1283" i="17"/>
  <c r="N1283" i="17" s="1"/>
  <c r="M1282" i="17"/>
  <c r="M1281" i="17"/>
  <c r="N1281" i="17" s="1"/>
  <c r="M1280" i="17"/>
  <c r="M1279" i="17"/>
  <c r="N1279" i="17" s="1"/>
  <c r="M1277" i="17"/>
  <c r="M1274" i="17"/>
  <c r="M1271" i="17"/>
  <c r="N1271" i="17" s="1"/>
  <c r="M1269" i="17"/>
  <c r="M1268" i="17"/>
  <c r="M1267" i="17"/>
  <c r="M1266" i="17"/>
  <c r="M1265" i="17"/>
  <c r="N1265" i="17" s="1"/>
  <c r="M1264" i="17"/>
  <c r="M1263" i="17"/>
  <c r="M1262" i="17"/>
  <c r="N1262" i="17" s="1"/>
  <c r="M1261" i="17"/>
  <c r="M1260" i="17"/>
  <c r="N1260" i="17" s="1"/>
  <c r="M1259" i="17"/>
  <c r="M1258" i="17"/>
  <c r="N1258" i="17" s="1"/>
  <c r="M1257" i="17"/>
  <c r="M1256" i="17"/>
  <c r="N1256" i="17" s="1"/>
  <c r="M1255" i="17"/>
  <c r="N1255" i="17" s="1"/>
  <c r="M1254" i="17"/>
  <c r="M1251" i="17"/>
  <c r="N1251" i="17" s="1"/>
  <c r="M1248" i="17"/>
  <c r="N1248" i="17" s="1"/>
  <c r="M1246" i="17"/>
  <c r="M1245" i="17"/>
  <c r="M1244" i="17"/>
  <c r="M1243" i="17"/>
  <c r="M1242" i="17"/>
  <c r="N1242" i="17" s="1"/>
  <c r="M1241" i="17"/>
  <c r="M1240" i="17"/>
  <c r="N1240" i="17" s="1"/>
  <c r="M1239" i="17"/>
  <c r="M1238" i="17"/>
  <c r="N1238" i="17" s="1"/>
  <c r="M1237" i="17"/>
  <c r="N1237" i="17" s="1"/>
  <c r="M1236" i="17"/>
  <c r="M1235" i="17"/>
  <c r="N1235" i="17" s="1"/>
  <c r="M1234" i="17"/>
  <c r="N1234" i="17" s="1"/>
  <c r="M1233" i="17"/>
  <c r="M1232" i="17"/>
  <c r="N1232" i="17" s="1"/>
  <c r="M1231" i="17"/>
  <c r="N1231" i="17" s="1"/>
  <c r="M1230" i="17"/>
  <c r="M1229" i="17"/>
  <c r="M1228" i="17"/>
  <c r="M1227" i="17"/>
  <c r="N1227" i="17" s="1"/>
  <c r="M1226" i="17"/>
  <c r="N1226" i="17" s="1"/>
  <c r="M1225" i="17"/>
  <c r="N1225" i="17" s="1"/>
  <c r="M1224" i="17"/>
  <c r="N1224" i="17" s="1"/>
  <c r="M1223" i="17"/>
  <c r="N1223" i="17" s="1"/>
  <c r="M1222" i="17"/>
  <c r="M1221" i="17"/>
  <c r="N1221" i="17" s="1"/>
  <c r="M1220" i="17"/>
  <c r="N1220" i="17" s="1"/>
  <c r="M1219" i="17"/>
  <c r="N1219" i="17" s="1"/>
  <c r="M1218" i="17"/>
  <c r="M1217" i="17"/>
  <c r="N1217" i="17" s="1"/>
  <c r="M1216" i="17"/>
  <c r="M1215" i="17"/>
  <c r="N1215" i="17" s="1"/>
  <c r="M1214" i="17"/>
  <c r="N1214" i="17" s="1"/>
  <c r="M1213" i="17"/>
  <c r="M1211" i="17"/>
  <c r="M1210" i="17"/>
  <c r="N1210" i="17" s="1"/>
  <c r="M1209" i="17"/>
  <c r="M1208" i="17"/>
  <c r="N1208" i="17" s="1"/>
  <c r="M1207" i="17"/>
  <c r="N1207" i="17" s="1"/>
  <c r="M1206" i="17"/>
  <c r="M1205" i="17"/>
  <c r="N1205" i="17" s="1"/>
  <c r="M1204" i="17"/>
  <c r="M1203" i="17"/>
  <c r="M1202" i="17"/>
  <c r="M1201" i="17"/>
  <c r="N1201" i="17" s="1"/>
  <c r="M1200" i="17"/>
  <c r="N1200" i="17" s="1"/>
  <c r="M1199" i="17"/>
  <c r="N1199" i="17" s="1"/>
  <c r="M1196" i="17"/>
  <c r="M1193" i="17"/>
  <c r="M1191" i="17"/>
  <c r="M1190" i="17"/>
  <c r="N1190" i="17" s="1"/>
  <c r="M1188" i="17"/>
  <c r="M1187" i="17"/>
  <c r="M1186" i="17"/>
  <c r="N1186" i="17" s="1"/>
  <c r="M1185" i="17"/>
  <c r="M1184" i="17"/>
  <c r="N1184" i="17" s="1"/>
  <c r="M1182" i="17"/>
  <c r="M1179" i="17"/>
  <c r="M1178" i="17"/>
  <c r="M1177" i="17"/>
  <c r="M1176" i="17"/>
  <c r="N1176" i="17" s="1"/>
  <c r="M1175" i="17"/>
  <c r="M1174" i="17"/>
  <c r="M1172" i="17"/>
  <c r="N1172" i="17" s="1"/>
  <c r="M1170" i="17"/>
  <c r="M1166" i="17"/>
  <c r="M1165" i="17"/>
  <c r="M1164" i="17"/>
  <c r="M1161" i="17"/>
  <c r="M1159" i="17"/>
  <c r="M1157" i="17"/>
  <c r="M1156" i="17"/>
  <c r="M1155" i="17"/>
  <c r="N1155" i="17" s="1"/>
  <c r="M1154" i="17"/>
  <c r="N1154" i="17" s="1"/>
  <c r="M1152" i="17"/>
  <c r="M1151" i="17"/>
  <c r="M1150" i="17"/>
  <c r="N1150" i="17" s="1"/>
  <c r="M1149" i="17"/>
  <c r="M1145" i="17"/>
  <c r="M1142" i="17"/>
  <c r="M1139" i="17"/>
  <c r="M1138" i="17"/>
  <c r="M1134" i="17"/>
  <c r="M1127" i="17"/>
  <c r="N1127" i="17" s="1"/>
  <c r="M1125" i="17"/>
  <c r="M1124" i="17"/>
  <c r="M1123" i="17"/>
  <c r="M1122" i="17"/>
  <c r="M1121" i="17"/>
  <c r="N1121" i="17" s="1"/>
  <c r="M1120" i="17"/>
  <c r="M1119" i="17"/>
  <c r="N1119" i="17" s="1"/>
  <c r="M1118" i="17"/>
  <c r="M1117" i="17"/>
  <c r="M1116" i="17"/>
  <c r="M1115" i="17"/>
  <c r="M1114" i="17"/>
  <c r="M1113" i="17"/>
  <c r="M1112" i="17"/>
  <c r="M1111" i="17"/>
  <c r="M1110" i="17"/>
  <c r="M1109" i="17"/>
  <c r="M1108" i="17"/>
  <c r="N1108" i="17" s="1"/>
  <c r="M1107" i="17"/>
  <c r="M1106" i="17"/>
  <c r="N1106" i="17" s="1"/>
  <c r="M1105" i="17"/>
  <c r="N1105" i="17" s="1"/>
  <c r="M1104" i="17"/>
  <c r="M1103" i="17"/>
  <c r="M1102" i="17"/>
  <c r="M1101" i="17"/>
  <c r="M1100" i="17"/>
  <c r="M1099" i="17"/>
  <c r="M1098" i="17"/>
  <c r="M1097" i="17"/>
  <c r="M1096" i="17"/>
  <c r="M1095" i="17"/>
  <c r="M1094" i="17"/>
  <c r="N1094" i="17" s="1"/>
  <c r="M1093" i="17"/>
  <c r="M1092" i="17"/>
  <c r="N1092" i="17" s="1"/>
  <c r="M1091" i="17"/>
  <c r="N1091" i="17" s="1"/>
  <c r="M1090" i="17"/>
  <c r="M1089" i="17"/>
  <c r="N1089" i="17" s="1"/>
  <c r="M1088" i="17"/>
  <c r="M1087" i="17"/>
  <c r="N1087" i="17" s="1"/>
  <c r="M1086" i="17"/>
  <c r="N1086" i="17" s="1"/>
  <c r="M1085" i="17"/>
  <c r="M1083" i="17"/>
  <c r="N1083" i="17" s="1"/>
  <c r="M1080" i="17"/>
  <c r="M1079" i="17"/>
  <c r="M1078" i="17"/>
  <c r="M1077" i="17"/>
  <c r="N1077" i="17" s="1"/>
  <c r="M1076" i="17"/>
  <c r="N1076" i="17" s="1"/>
  <c r="M1074" i="17"/>
  <c r="M1073" i="17"/>
  <c r="M1072" i="17"/>
  <c r="M1071" i="17"/>
  <c r="N1071" i="17" s="1"/>
  <c r="M1070" i="17"/>
  <c r="N1070" i="17" s="1"/>
  <c r="M1069" i="17"/>
  <c r="N1069" i="17" s="1"/>
  <c r="M1068" i="17"/>
  <c r="N1068" i="17" s="1"/>
  <c r="M1066" i="17"/>
  <c r="M1063" i="17"/>
  <c r="M1061" i="17"/>
  <c r="M1060" i="17"/>
  <c r="N1060" i="17" s="1"/>
  <c r="M1059" i="17"/>
  <c r="M1058" i="17"/>
  <c r="M1057" i="17"/>
  <c r="M1053" i="17"/>
  <c r="M1052" i="17"/>
  <c r="N1052" i="17" s="1"/>
  <c r="M1051" i="17"/>
  <c r="M1050" i="17"/>
  <c r="M1049" i="17"/>
  <c r="N1049" i="17" s="1"/>
  <c r="M1048" i="17"/>
  <c r="M1046" i="17"/>
  <c r="M1043" i="17"/>
  <c r="M1037" i="17"/>
  <c r="N1037" i="17" s="1"/>
  <c r="M1035" i="17"/>
  <c r="M1034" i="17"/>
  <c r="M1033" i="17"/>
  <c r="M1032" i="17"/>
  <c r="M1031" i="17"/>
  <c r="M1030" i="17"/>
  <c r="M1029" i="17"/>
  <c r="M1028" i="17"/>
  <c r="M1027" i="17"/>
  <c r="M1026" i="17"/>
  <c r="M1025" i="17"/>
  <c r="M1024" i="17"/>
  <c r="N1024" i="17" s="1"/>
  <c r="M1023" i="17"/>
  <c r="N1023" i="17" s="1"/>
  <c r="M1022" i="17"/>
  <c r="N1022" i="17" s="1"/>
  <c r="M1021" i="17"/>
  <c r="M1020" i="17"/>
  <c r="N1020" i="17" s="1"/>
  <c r="M1019" i="17"/>
  <c r="N1019" i="17" s="1"/>
  <c r="M1018" i="17"/>
  <c r="N1018" i="17" s="1"/>
  <c r="M1017" i="17"/>
  <c r="M1015" i="17"/>
  <c r="M1014" i="17"/>
  <c r="M1013" i="17"/>
  <c r="M1010" i="17"/>
  <c r="N1010" i="17" s="1"/>
  <c r="M1009" i="17"/>
  <c r="N1009" i="17" s="1"/>
  <c r="M1008" i="17"/>
  <c r="N1008" i="17" s="1"/>
  <c r="M1007" i="17"/>
  <c r="N1007" i="17" s="1"/>
  <c r="M1006" i="17"/>
  <c r="N1006" i="17" s="1"/>
  <c r="M1004" i="17"/>
  <c r="M1003" i="17"/>
  <c r="N1003" i="17" s="1"/>
  <c r="M1002" i="17"/>
  <c r="N1002" i="17" s="1"/>
  <c r="M1001" i="17"/>
  <c r="N1001" i="17" s="1"/>
  <c r="M1000" i="17"/>
  <c r="N1000" i="17" s="1"/>
  <c r="M999" i="17"/>
  <c r="N999" i="17" s="1"/>
  <c r="M998" i="17"/>
  <c r="N998" i="17" s="1"/>
  <c r="M997" i="17"/>
  <c r="N997" i="17" s="1"/>
  <c r="M995" i="17"/>
  <c r="M994" i="17"/>
  <c r="N994" i="17" s="1"/>
  <c r="M993" i="17"/>
  <c r="M992" i="17"/>
  <c r="N992" i="17" s="1"/>
  <c r="M991" i="17"/>
  <c r="N991" i="17" s="1"/>
  <c r="M990" i="17"/>
  <c r="M988" i="17"/>
  <c r="M987" i="17"/>
  <c r="N987" i="17" s="1"/>
  <c r="M986" i="17"/>
  <c r="M983" i="17"/>
  <c r="M980" i="17"/>
  <c r="M977" i="17"/>
  <c r="N977" i="17" s="1"/>
  <c r="M975" i="17"/>
  <c r="M974" i="17"/>
  <c r="M973" i="17"/>
  <c r="M972" i="17"/>
  <c r="M971" i="17"/>
  <c r="M970" i="17"/>
  <c r="M969" i="17"/>
  <c r="N969" i="17" s="1"/>
  <c r="M968" i="17"/>
  <c r="N968" i="17" s="1"/>
  <c r="M967" i="17"/>
  <c r="M966" i="17"/>
  <c r="N966" i="17" s="1"/>
  <c r="M965" i="17"/>
  <c r="M964" i="17"/>
  <c r="M963" i="17"/>
  <c r="M962" i="17"/>
  <c r="N962" i="17" s="1"/>
  <c r="M961" i="17"/>
  <c r="M960" i="17"/>
  <c r="N960" i="17" s="1"/>
  <c r="M959" i="17"/>
  <c r="M958" i="17"/>
  <c r="N958" i="17" s="1"/>
  <c r="M957" i="17"/>
  <c r="M956" i="17"/>
  <c r="N956" i="17" s="1"/>
  <c r="M955" i="17"/>
  <c r="M954" i="17"/>
  <c r="N954" i="17" s="1"/>
  <c r="M953" i="17"/>
  <c r="M952" i="17"/>
  <c r="N952" i="17" s="1"/>
  <c r="M951" i="17"/>
  <c r="M950" i="17"/>
  <c r="N950" i="17" s="1"/>
  <c r="M949" i="17"/>
  <c r="M948" i="17"/>
  <c r="N948" i="17" s="1"/>
  <c r="M947" i="17"/>
  <c r="M946" i="17"/>
  <c r="N946" i="17" s="1"/>
  <c r="M945" i="17"/>
  <c r="M944" i="17"/>
  <c r="M943" i="17"/>
  <c r="M942" i="17"/>
  <c r="M941" i="17"/>
  <c r="N941" i="17" s="1"/>
  <c r="M940" i="17"/>
  <c r="N940" i="17" s="1"/>
  <c r="M939" i="17"/>
  <c r="M938" i="17"/>
  <c r="N938" i="17" s="1"/>
  <c r="M937" i="17"/>
  <c r="N937" i="17" s="1"/>
  <c r="M936" i="17"/>
  <c r="N936" i="17" s="1"/>
  <c r="M934" i="17"/>
  <c r="M933" i="17"/>
  <c r="M932" i="17"/>
  <c r="M931" i="17"/>
  <c r="M930" i="17"/>
  <c r="M929" i="17"/>
  <c r="M928" i="17"/>
  <c r="N928" i="17" s="1"/>
  <c r="M927" i="17"/>
  <c r="N927" i="17" s="1"/>
  <c r="M926" i="17"/>
  <c r="M924" i="17"/>
  <c r="M923" i="17"/>
  <c r="N923" i="17" s="1"/>
  <c r="M922" i="17"/>
  <c r="M921" i="17"/>
  <c r="N921" i="17" s="1"/>
  <c r="M920" i="17"/>
  <c r="M919" i="17"/>
  <c r="N919" i="17" s="1"/>
  <c r="M918" i="17"/>
  <c r="M917" i="17"/>
  <c r="N917" i="17" s="1"/>
  <c r="M916" i="17"/>
  <c r="N916" i="17" s="1"/>
  <c r="M915" i="17"/>
  <c r="M914" i="17"/>
  <c r="N914" i="17" s="1"/>
  <c r="M913" i="17"/>
  <c r="M912" i="17"/>
  <c r="N912" i="17" s="1"/>
  <c r="M911" i="17"/>
  <c r="M910" i="17"/>
  <c r="M909" i="17"/>
  <c r="M908" i="17"/>
  <c r="M907" i="17"/>
  <c r="M906" i="17"/>
  <c r="N906" i="17" s="1"/>
  <c r="M905" i="17"/>
  <c r="M904" i="17"/>
  <c r="M903" i="17"/>
  <c r="M902" i="17"/>
  <c r="M901" i="17"/>
  <c r="M900" i="17"/>
  <c r="N900" i="17" s="1"/>
  <c r="M899" i="17"/>
  <c r="M898" i="17"/>
  <c r="M897" i="17"/>
  <c r="M896" i="17"/>
  <c r="M895" i="17"/>
  <c r="M894" i="17"/>
  <c r="M893" i="17"/>
  <c r="M892" i="17"/>
  <c r="M891" i="17"/>
  <c r="M890" i="17"/>
  <c r="M889" i="17"/>
  <c r="N889" i="17" s="1"/>
  <c r="M888" i="17"/>
  <c r="M887" i="17"/>
  <c r="N887" i="17" s="1"/>
  <c r="M886" i="17"/>
  <c r="M885" i="17"/>
  <c r="M884" i="17"/>
  <c r="M883" i="17"/>
  <c r="M882" i="17"/>
  <c r="M881" i="17"/>
  <c r="N881" i="17" s="1"/>
  <c r="M880" i="17"/>
  <c r="N880" i="17" s="1"/>
  <c r="M879" i="17"/>
  <c r="M878" i="17"/>
  <c r="N878" i="17" s="1"/>
  <c r="M877" i="17"/>
  <c r="M876" i="17"/>
  <c r="M875" i="17"/>
  <c r="N875" i="17" s="1"/>
  <c r="M874" i="17"/>
  <c r="M873" i="17"/>
  <c r="M872" i="17"/>
  <c r="M871" i="17"/>
  <c r="N871" i="17" s="1"/>
  <c r="M870" i="17"/>
  <c r="N870" i="17" s="1"/>
  <c r="M868" i="17"/>
  <c r="M867" i="17"/>
  <c r="N867" i="17" s="1"/>
  <c r="M866" i="17"/>
  <c r="N866" i="17" s="1"/>
  <c r="M865" i="17"/>
  <c r="N865" i="17" s="1"/>
  <c r="M863" i="17"/>
  <c r="M862" i="17"/>
  <c r="M861" i="17"/>
  <c r="N861" i="17" s="1"/>
  <c r="M860" i="17"/>
  <c r="N860" i="17" s="1"/>
  <c r="M857" i="17"/>
  <c r="M856" i="17"/>
  <c r="N856" i="17" s="1"/>
  <c r="M855" i="17"/>
  <c r="N855" i="17" s="1"/>
  <c r="M853" i="17"/>
  <c r="N853" i="17" s="1"/>
  <c r="M851" i="17"/>
  <c r="M849" i="17"/>
  <c r="M848" i="17"/>
  <c r="N848" i="17" s="1"/>
  <c r="M847" i="17"/>
  <c r="N847" i="17" s="1"/>
  <c r="M846" i="17"/>
  <c r="M845" i="17"/>
  <c r="N845" i="17" s="1"/>
  <c r="M844" i="17"/>
  <c r="M843" i="17"/>
  <c r="N843" i="17" s="1"/>
  <c r="M842" i="17"/>
  <c r="M841" i="17"/>
  <c r="M840" i="17"/>
  <c r="M839" i="17"/>
  <c r="N839" i="17" s="1"/>
  <c r="M838" i="17"/>
  <c r="M837" i="17"/>
  <c r="M836" i="17"/>
  <c r="M835" i="17"/>
  <c r="M834" i="17"/>
  <c r="N834" i="17" s="1"/>
  <c r="M833" i="17"/>
  <c r="N833" i="17" s="1"/>
  <c r="M832" i="17"/>
  <c r="M830" i="17"/>
  <c r="M828" i="17"/>
  <c r="M827" i="17"/>
  <c r="N827" i="17" s="1"/>
  <c r="M826" i="17"/>
  <c r="M825" i="17"/>
  <c r="M824" i="17"/>
  <c r="N824" i="17" s="1"/>
  <c r="M823" i="17"/>
  <c r="N823" i="17" s="1"/>
  <c r="M822" i="17"/>
  <c r="M821" i="17"/>
  <c r="M820" i="17"/>
  <c r="N820" i="17" s="1"/>
  <c r="M819" i="17"/>
  <c r="M818" i="17"/>
  <c r="M817" i="17"/>
  <c r="N817" i="17" s="1"/>
  <c r="M816" i="17"/>
  <c r="M815" i="17"/>
  <c r="M814" i="17"/>
  <c r="N814" i="17" s="1"/>
  <c r="M813" i="17"/>
  <c r="N813" i="17" s="1"/>
  <c r="M811" i="17"/>
  <c r="M810" i="17"/>
  <c r="M809" i="17"/>
  <c r="N809" i="17" s="1"/>
  <c r="M808" i="17"/>
  <c r="M807" i="17"/>
  <c r="M806" i="17"/>
  <c r="N806" i="17" s="1"/>
  <c r="M805" i="17"/>
  <c r="M804" i="17"/>
  <c r="M803" i="17"/>
  <c r="N803" i="17" s="1"/>
  <c r="M802" i="17"/>
  <c r="M801" i="17"/>
  <c r="M800" i="17"/>
  <c r="N800" i="17" s="1"/>
  <c r="M799" i="17"/>
  <c r="M796" i="17"/>
  <c r="M795" i="17"/>
  <c r="M794" i="17"/>
  <c r="M793" i="17"/>
  <c r="M792" i="17"/>
  <c r="M791" i="17"/>
  <c r="N791" i="17" s="1"/>
  <c r="M790" i="17"/>
  <c r="N790" i="17" s="1"/>
  <c r="M789" i="17"/>
  <c r="M788" i="17"/>
  <c r="M787" i="17"/>
  <c r="N787" i="17" s="1"/>
  <c r="M786" i="17"/>
  <c r="N786" i="17" s="1"/>
  <c r="M785" i="17"/>
  <c r="M784" i="17"/>
  <c r="M783" i="17"/>
  <c r="M782" i="17"/>
  <c r="M781" i="17"/>
  <c r="M780" i="17"/>
  <c r="M779" i="17"/>
  <c r="N779" i="17" s="1"/>
  <c r="M778" i="17"/>
  <c r="N778" i="17" s="1"/>
  <c r="M777" i="17"/>
  <c r="M776" i="17"/>
  <c r="M775" i="17"/>
  <c r="N775" i="17" s="1"/>
  <c r="M774" i="17"/>
  <c r="M773" i="17"/>
  <c r="M772" i="17"/>
  <c r="N772" i="17" s="1"/>
  <c r="M771" i="17"/>
  <c r="N771" i="17" s="1"/>
  <c r="M770" i="17"/>
  <c r="M769" i="17"/>
  <c r="M768" i="17"/>
  <c r="N768" i="17" s="1"/>
  <c r="M767" i="17"/>
  <c r="N767" i="17" s="1"/>
  <c r="M766" i="17"/>
  <c r="M765" i="17"/>
  <c r="M764" i="17"/>
  <c r="N764" i="17" s="1"/>
  <c r="M763" i="17"/>
  <c r="N763" i="17" s="1"/>
  <c r="M762" i="17"/>
  <c r="N762" i="17" s="1"/>
  <c r="M761" i="17"/>
  <c r="N761" i="17" s="1"/>
  <c r="M758" i="17"/>
  <c r="M757" i="17"/>
  <c r="M756" i="17"/>
  <c r="N756" i="17" s="1"/>
  <c r="M754" i="17"/>
  <c r="M753" i="17"/>
  <c r="M752" i="17"/>
  <c r="N752" i="17" s="1"/>
  <c r="M751" i="17"/>
  <c r="N751" i="17" s="1"/>
  <c r="M750" i="17"/>
  <c r="M749" i="17"/>
  <c r="M748" i="17"/>
  <c r="N748" i="17" s="1"/>
  <c r="M747" i="17"/>
  <c r="N747" i="17" s="1"/>
  <c r="M746" i="17"/>
  <c r="M745" i="17"/>
  <c r="M744" i="17"/>
  <c r="N744" i="17" s="1"/>
  <c r="M742" i="17"/>
  <c r="N742" i="17" s="1"/>
  <c r="M741" i="17"/>
  <c r="N741" i="17" s="1"/>
  <c r="M740" i="17"/>
  <c r="N740" i="17" s="1"/>
  <c r="M739" i="17"/>
  <c r="N739" i="17" s="1"/>
  <c r="M738" i="17"/>
  <c r="N738" i="17" s="1"/>
  <c r="M737" i="17"/>
  <c r="N737" i="17" s="1"/>
  <c r="M735" i="17"/>
  <c r="M734" i="17"/>
  <c r="M733" i="17"/>
  <c r="N733" i="17" s="1"/>
  <c r="M732" i="17"/>
  <c r="N732" i="17" s="1"/>
  <c r="M731" i="17"/>
  <c r="M728" i="17"/>
  <c r="M727" i="17"/>
  <c r="N727" i="17" s="1"/>
  <c r="M726" i="17"/>
  <c r="M725" i="17"/>
  <c r="M724" i="17"/>
  <c r="N724" i="17" s="1"/>
  <c r="M723" i="17"/>
  <c r="M722" i="17"/>
  <c r="M721" i="17"/>
  <c r="N721" i="17" s="1"/>
  <c r="M720" i="17"/>
  <c r="M719" i="17"/>
  <c r="M718" i="17"/>
  <c r="N718" i="17" s="1"/>
  <c r="M717" i="17"/>
  <c r="M716" i="17"/>
  <c r="M715" i="17"/>
  <c r="M714" i="17"/>
  <c r="N714" i="17" s="1"/>
  <c r="M713" i="17"/>
  <c r="M712" i="17"/>
  <c r="M711" i="17"/>
  <c r="M710" i="17"/>
  <c r="M709" i="17"/>
  <c r="N709" i="17" s="1"/>
  <c r="M708" i="17"/>
  <c r="N708" i="17" s="1"/>
  <c r="M707" i="17"/>
  <c r="N707" i="17" s="1"/>
  <c r="M705" i="17"/>
  <c r="M702" i="17"/>
  <c r="M701" i="17"/>
  <c r="M700" i="17"/>
  <c r="M699" i="17"/>
  <c r="M698" i="17"/>
  <c r="M697" i="17"/>
  <c r="M696" i="17"/>
  <c r="M695" i="17"/>
  <c r="M694" i="17"/>
  <c r="M693" i="17"/>
  <c r="N693" i="17" s="1"/>
  <c r="M692" i="17"/>
  <c r="M691" i="17"/>
  <c r="M690" i="17"/>
  <c r="N690" i="17" s="1"/>
  <c r="M689" i="17"/>
  <c r="N689" i="17" s="1"/>
  <c r="M688" i="17"/>
  <c r="N688" i="17" s="1"/>
  <c r="M687" i="17"/>
  <c r="N687" i="17" s="1"/>
  <c r="M686" i="17"/>
  <c r="N686" i="17" s="1"/>
  <c r="M685" i="17"/>
  <c r="N685" i="17" s="1"/>
  <c r="M684" i="17"/>
  <c r="N684" i="17" s="1"/>
  <c r="M681" i="17"/>
  <c r="M680" i="17"/>
  <c r="M679" i="17"/>
  <c r="N679" i="17" s="1"/>
  <c r="M678" i="17"/>
  <c r="M677" i="17"/>
  <c r="M676" i="17"/>
  <c r="N676" i="17" s="1"/>
  <c r="M675" i="17"/>
  <c r="M674" i="17"/>
  <c r="M673" i="17"/>
  <c r="N673" i="17" s="1"/>
  <c r="M672" i="17"/>
  <c r="M671" i="17"/>
  <c r="M670" i="17"/>
  <c r="N670" i="17" s="1"/>
  <c r="M669" i="17"/>
  <c r="M665" i="17"/>
  <c r="M661" i="17"/>
  <c r="M657" i="17"/>
  <c r="N657" i="17" s="1"/>
  <c r="M655" i="17"/>
  <c r="M654" i="17"/>
  <c r="M653" i="17"/>
  <c r="M652" i="17"/>
  <c r="M651" i="17"/>
  <c r="N651" i="17" s="1"/>
  <c r="M650" i="17"/>
  <c r="M649" i="17"/>
  <c r="M648" i="17"/>
  <c r="M647" i="17"/>
  <c r="N647" i="17" s="1"/>
  <c r="M646" i="17"/>
  <c r="M644" i="17"/>
  <c r="M643" i="17"/>
  <c r="N643" i="17" s="1"/>
  <c r="M642" i="17"/>
  <c r="N642" i="17" s="1"/>
  <c r="M641" i="17"/>
  <c r="M640" i="17"/>
  <c r="M639" i="17"/>
  <c r="M638" i="17"/>
  <c r="N638" i="17" s="1"/>
  <c r="M637" i="17"/>
  <c r="M636" i="17"/>
  <c r="N636" i="17" s="1"/>
  <c r="M635" i="17"/>
  <c r="M634" i="17"/>
  <c r="N634" i="17" s="1"/>
  <c r="M633" i="17"/>
  <c r="N633" i="17" s="1"/>
  <c r="M632" i="17"/>
  <c r="N632" i="17" s="1"/>
  <c r="M631" i="17"/>
  <c r="N631" i="17" s="1"/>
  <c r="M630" i="17"/>
  <c r="N630" i="17" s="1"/>
  <c r="M629" i="17"/>
  <c r="M627" i="17"/>
  <c r="M626" i="17"/>
  <c r="M625" i="17"/>
  <c r="M624" i="17"/>
  <c r="N624" i="17" s="1"/>
  <c r="M623" i="17"/>
  <c r="N623" i="17" s="1"/>
  <c r="M622" i="17"/>
  <c r="M621" i="17"/>
  <c r="N621" i="17" s="1"/>
  <c r="M620" i="17"/>
  <c r="N620" i="17" s="1"/>
  <c r="M619" i="17"/>
  <c r="M618" i="17"/>
  <c r="N618" i="17" s="1"/>
  <c r="M616" i="17"/>
  <c r="M615" i="17"/>
  <c r="N615" i="17" s="1"/>
  <c r="M614" i="17"/>
  <c r="M613" i="17"/>
  <c r="M612" i="17"/>
  <c r="M611" i="17"/>
  <c r="N611" i="17" s="1"/>
  <c r="M610" i="17"/>
  <c r="M609" i="17"/>
  <c r="M608" i="17"/>
  <c r="N608" i="17" s="1"/>
  <c r="M607" i="17"/>
  <c r="N607" i="17" s="1"/>
  <c r="M606" i="17"/>
  <c r="N606" i="17" s="1"/>
  <c r="M604" i="17"/>
  <c r="M603" i="17"/>
  <c r="N603" i="17" s="1"/>
  <c r="M602" i="17"/>
  <c r="N602" i="17" s="1"/>
  <c r="M601" i="17"/>
  <c r="N601" i="17" s="1"/>
  <c r="M600" i="17"/>
  <c r="N600" i="17" s="1"/>
  <c r="M599" i="17"/>
  <c r="M598" i="17"/>
  <c r="N598" i="17" s="1"/>
  <c r="M596" i="17"/>
  <c r="M595" i="17"/>
  <c r="M594" i="17"/>
  <c r="N594" i="17" s="1"/>
  <c r="M593" i="17"/>
  <c r="N593" i="17" s="1"/>
  <c r="M592" i="17"/>
  <c r="N592" i="17" s="1"/>
  <c r="M591" i="17"/>
  <c r="M590" i="17"/>
  <c r="M589" i="17"/>
  <c r="M588" i="17"/>
  <c r="M587" i="17"/>
  <c r="M586" i="17"/>
  <c r="M585" i="17"/>
  <c r="M584" i="17"/>
  <c r="M583" i="17"/>
  <c r="M582" i="17"/>
  <c r="N582" i="17" s="1"/>
  <c r="M581" i="17"/>
  <c r="N581" i="17" s="1"/>
  <c r="M580" i="17"/>
  <c r="N580" i="17" s="1"/>
  <c r="M579" i="17"/>
  <c r="N579" i="17" s="1"/>
  <c r="M578" i="17"/>
  <c r="M577" i="17"/>
  <c r="M576" i="17"/>
  <c r="N576" i="17" s="1"/>
  <c r="M575" i="17"/>
  <c r="N575" i="17" s="1"/>
  <c r="M574" i="17"/>
  <c r="N574" i="17" s="1"/>
  <c r="M573" i="17"/>
  <c r="N573" i="17" s="1"/>
  <c r="M572" i="17"/>
  <c r="M570" i="17"/>
  <c r="M569" i="17"/>
  <c r="M568" i="17"/>
  <c r="M567" i="17"/>
  <c r="M566" i="17"/>
  <c r="N566" i="17" s="1"/>
  <c r="M565" i="17"/>
  <c r="N565" i="17" s="1"/>
  <c r="M564" i="17"/>
  <c r="N564" i="17" s="1"/>
  <c r="M563" i="17"/>
  <c r="N563" i="17" s="1"/>
  <c r="M562" i="17"/>
  <c r="N562" i="17" s="1"/>
  <c r="M561" i="17"/>
  <c r="M560" i="17"/>
  <c r="N560" i="17" s="1"/>
  <c r="M559" i="17"/>
  <c r="M558" i="17"/>
  <c r="N558" i="17" s="1"/>
  <c r="M557" i="17"/>
  <c r="N557" i="17" s="1"/>
  <c r="M556" i="17"/>
  <c r="M555" i="17"/>
  <c r="N555" i="17" s="1"/>
  <c r="M554" i="17"/>
  <c r="N554" i="17" s="1"/>
  <c r="M553" i="17"/>
  <c r="M551" i="17"/>
  <c r="M550" i="17"/>
  <c r="N550" i="17" s="1"/>
  <c r="M549" i="17"/>
  <c r="N549" i="17" s="1"/>
  <c r="M548" i="17"/>
  <c r="M547" i="17"/>
  <c r="M544" i="17"/>
  <c r="M543" i="17"/>
  <c r="N543" i="17" s="1"/>
  <c r="M542" i="17"/>
  <c r="M541" i="17"/>
  <c r="M539" i="17"/>
  <c r="M538" i="17"/>
  <c r="N538" i="17" s="1"/>
  <c r="M537" i="17"/>
  <c r="N537" i="17" s="1"/>
  <c r="M536" i="17"/>
  <c r="M535" i="17"/>
  <c r="M534" i="17"/>
  <c r="N534" i="17" s="1"/>
  <c r="M533" i="17"/>
  <c r="N533" i="17" s="1"/>
  <c r="M532" i="17"/>
  <c r="M531" i="17"/>
  <c r="M530" i="17"/>
  <c r="N530" i="17" s="1"/>
  <c r="M529" i="17"/>
  <c r="N529" i="17" s="1"/>
  <c r="M528" i="17"/>
  <c r="M527" i="17"/>
  <c r="M526" i="17"/>
  <c r="N526" i="17" s="1"/>
  <c r="M525" i="17"/>
  <c r="N525" i="17" s="1"/>
  <c r="M524" i="17"/>
  <c r="M523" i="17"/>
  <c r="M519" i="17"/>
  <c r="M518" i="17"/>
  <c r="N518" i="17" s="1"/>
  <c r="M517" i="17"/>
  <c r="N517" i="17" s="1"/>
  <c r="M516" i="17"/>
  <c r="M515" i="17"/>
  <c r="M512" i="17"/>
  <c r="M511" i="17"/>
  <c r="N511" i="17" s="1"/>
  <c r="M510" i="17"/>
  <c r="M509" i="17"/>
  <c r="N509" i="17" s="1"/>
  <c r="M508" i="17"/>
  <c r="N508" i="17" s="1"/>
  <c r="M507" i="17"/>
  <c r="M506" i="17"/>
  <c r="M503" i="17"/>
  <c r="M502" i="17"/>
  <c r="N502" i="17" s="1"/>
  <c r="M501" i="17"/>
  <c r="N501" i="17" s="1"/>
  <c r="M500" i="17"/>
  <c r="M499" i="17"/>
  <c r="M496" i="17"/>
  <c r="M495" i="17"/>
  <c r="N495" i="17" s="1"/>
  <c r="M494" i="17"/>
  <c r="N494" i="17" s="1"/>
  <c r="M493" i="17"/>
  <c r="M492" i="17"/>
  <c r="M489" i="17"/>
  <c r="M488" i="17"/>
  <c r="N488" i="17" s="1"/>
  <c r="M487" i="17"/>
  <c r="N487" i="17" s="1"/>
  <c r="M486" i="17"/>
  <c r="M485" i="17"/>
  <c r="M482" i="17"/>
  <c r="M481" i="17"/>
  <c r="N481" i="17" s="1"/>
  <c r="M480" i="17"/>
  <c r="N480" i="17" s="1"/>
  <c r="M479" i="17"/>
  <c r="M478" i="17"/>
  <c r="M474" i="17"/>
  <c r="M473" i="17"/>
  <c r="N473" i="17" s="1"/>
  <c r="M472" i="17"/>
  <c r="N472" i="17" s="1"/>
  <c r="M471" i="17"/>
  <c r="M470" i="17"/>
  <c r="M466" i="17"/>
  <c r="M460" i="17"/>
  <c r="N460" i="17" s="1"/>
  <c r="M458" i="17"/>
  <c r="M457" i="17"/>
  <c r="M456" i="17"/>
  <c r="M455" i="17"/>
  <c r="M454" i="17"/>
  <c r="M453" i="17"/>
  <c r="M452" i="17"/>
  <c r="M451" i="17"/>
  <c r="M450" i="17"/>
  <c r="M449" i="17"/>
  <c r="M447" i="17"/>
  <c r="M446" i="17"/>
  <c r="N446" i="17" s="1"/>
  <c r="M445" i="17"/>
  <c r="N445" i="17" s="1"/>
  <c r="M444" i="17"/>
  <c r="M443" i="17"/>
  <c r="M442" i="17"/>
  <c r="M441" i="17"/>
  <c r="M440" i="17"/>
  <c r="M439" i="17"/>
  <c r="N439" i="17" s="1"/>
  <c r="M438" i="17"/>
  <c r="M437" i="17"/>
  <c r="M436" i="17"/>
  <c r="M435" i="17"/>
  <c r="N435" i="17" s="1"/>
  <c r="M434" i="17"/>
  <c r="M433" i="17"/>
  <c r="N433" i="17" s="1"/>
  <c r="M432" i="17"/>
  <c r="M431" i="17"/>
  <c r="M430" i="17"/>
  <c r="M429" i="17"/>
  <c r="N429" i="17" s="1"/>
  <c r="M428" i="17"/>
  <c r="N428" i="17" s="1"/>
  <c r="M427" i="17"/>
  <c r="M426" i="17"/>
  <c r="N426" i="17" s="1"/>
  <c r="M425" i="17"/>
  <c r="N425" i="17" s="1"/>
  <c r="M424" i="17"/>
  <c r="M423" i="17"/>
  <c r="N423" i="17" s="1"/>
  <c r="M422" i="17"/>
  <c r="N422" i="17" s="1"/>
  <c r="M421" i="17"/>
  <c r="N421" i="17" s="1"/>
  <c r="M420" i="17"/>
  <c r="N420" i="17" s="1"/>
  <c r="M418" i="17"/>
  <c r="N418" i="17" s="1"/>
  <c r="M417" i="17"/>
  <c r="N417" i="17" s="1"/>
  <c r="M416" i="17"/>
  <c r="N416" i="17" s="1"/>
  <c r="M415" i="17"/>
  <c r="N415" i="17" s="1"/>
  <c r="M414" i="17"/>
  <c r="N414" i="17" s="1"/>
  <c r="M413" i="17"/>
  <c r="N413" i="17" s="1"/>
  <c r="M411" i="17"/>
  <c r="M410" i="17"/>
  <c r="M409" i="17"/>
  <c r="M408" i="17"/>
  <c r="M407" i="17"/>
  <c r="N407" i="17" s="1"/>
  <c r="M406" i="17"/>
  <c r="M405" i="17"/>
  <c r="M404" i="17"/>
  <c r="M403" i="17"/>
  <c r="N403" i="17" s="1"/>
  <c r="M402" i="17"/>
  <c r="N402" i="17" s="1"/>
  <c r="M401" i="17"/>
  <c r="N401" i="17" s="1"/>
  <c r="M400" i="17"/>
  <c r="N400" i="17" s="1"/>
  <c r="M399" i="17"/>
  <c r="N399" i="17" s="1"/>
  <c r="M398" i="17"/>
  <c r="N398" i="17" s="1"/>
  <c r="M397" i="17"/>
  <c r="M396" i="17"/>
  <c r="N396" i="17" s="1"/>
  <c r="M395" i="17"/>
  <c r="N395" i="17" s="1"/>
  <c r="M394" i="17"/>
  <c r="N394" i="17" s="1"/>
  <c r="M393" i="17"/>
  <c r="N393" i="17" s="1"/>
  <c r="M392" i="17"/>
  <c r="N392" i="17" s="1"/>
  <c r="M391" i="17"/>
  <c r="N391" i="17" s="1"/>
  <c r="M390" i="17"/>
  <c r="M388" i="17"/>
  <c r="M387" i="17"/>
  <c r="N387" i="17" s="1"/>
  <c r="M386" i="17"/>
  <c r="M385" i="17"/>
  <c r="M382" i="17"/>
  <c r="M381" i="17"/>
  <c r="N381" i="17" s="1"/>
  <c r="M380" i="17"/>
  <c r="M379" i="17"/>
  <c r="N379" i="17" s="1"/>
  <c r="M378" i="17"/>
  <c r="N378" i="17" s="1"/>
  <c r="M377" i="17"/>
  <c r="M376" i="17"/>
  <c r="M375" i="17"/>
  <c r="N375" i="17" s="1"/>
  <c r="M374" i="17"/>
  <c r="N374" i="17" s="1"/>
  <c r="M373" i="17"/>
  <c r="M372" i="17"/>
  <c r="M369" i="17"/>
  <c r="M368" i="17"/>
  <c r="M367" i="17"/>
  <c r="M366" i="17"/>
  <c r="N366" i="17" s="1"/>
  <c r="M365" i="17"/>
  <c r="N365" i="17" s="1"/>
  <c r="M364" i="17"/>
  <c r="M363" i="17"/>
  <c r="N363" i="17" s="1"/>
  <c r="M362" i="17"/>
  <c r="N362" i="17" s="1"/>
  <c r="M361" i="17"/>
  <c r="M360" i="17"/>
  <c r="M359" i="17"/>
  <c r="N359" i="17" s="1"/>
  <c r="M358" i="17"/>
  <c r="N358" i="17" s="1"/>
  <c r="M357" i="17"/>
  <c r="M354" i="17"/>
  <c r="M353" i="17"/>
  <c r="M352" i="17"/>
  <c r="M351" i="17"/>
  <c r="N351" i="17" s="1"/>
  <c r="M350" i="17"/>
  <c r="N350" i="17" s="1"/>
  <c r="M349" i="17"/>
  <c r="M348" i="17"/>
  <c r="M345" i="17"/>
  <c r="M344" i="17"/>
  <c r="N344" i="17" s="1"/>
  <c r="M343" i="17"/>
  <c r="M342" i="17"/>
  <c r="M341" i="17"/>
  <c r="N341" i="17" s="1"/>
  <c r="M340" i="17"/>
  <c r="N340" i="17" s="1"/>
  <c r="M339" i="17"/>
  <c r="N339" i="17" s="1"/>
  <c r="M338" i="17"/>
  <c r="M337" i="17"/>
  <c r="M332" i="17"/>
  <c r="M331" i="17"/>
  <c r="N331" i="17" s="1"/>
  <c r="M330" i="17"/>
  <c r="M329" i="17"/>
  <c r="N329" i="17" s="1"/>
  <c r="M328" i="17"/>
  <c r="N328" i="17" s="1"/>
  <c r="M327" i="17"/>
  <c r="N327" i="17" s="1"/>
  <c r="M326" i="17"/>
  <c r="N326" i="17" s="1"/>
  <c r="M325" i="17"/>
  <c r="M324" i="17"/>
  <c r="M323" i="17"/>
  <c r="N323" i="17" s="1"/>
  <c r="M322" i="17"/>
  <c r="N322" i="17" s="1"/>
  <c r="M321" i="17"/>
  <c r="N321" i="17" s="1"/>
  <c r="M320" i="17"/>
  <c r="N320" i="17" s="1"/>
  <c r="M318" i="17"/>
  <c r="M311" i="17"/>
  <c r="N311" i="17" s="1"/>
  <c r="M309" i="17"/>
  <c r="M308" i="17"/>
  <c r="M307" i="17"/>
  <c r="M306" i="17"/>
  <c r="M305" i="17"/>
  <c r="N305" i="17" s="1"/>
  <c r="M304" i="17"/>
  <c r="M302" i="17"/>
  <c r="M301" i="17"/>
  <c r="N301" i="17" s="1"/>
  <c r="M300" i="17"/>
  <c r="N300" i="17" s="1"/>
  <c r="M299" i="17"/>
  <c r="M293" i="17"/>
  <c r="N293" i="17" s="1"/>
  <c r="M291" i="17"/>
  <c r="M290" i="17"/>
  <c r="M289" i="17"/>
  <c r="M288" i="17"/>
  <c r="M287" i="17"/>
  <c r="M286" i="17"/>
  <c r="M285" i="17"/>
  <c r="M284" i="17"/>
  <c r="M283" i="17"/>
  <c r="M282" i="17"/>
  <c r="N282" i="17" s="1"/>
  <c r="M281" i="17"/>
  <c r="M280" i="17"/>
  <c r="M278" i="17"/>
  <c r="M277" i="17"/>
  <c r="M276" i="17"/>
  <c r="N276" i="17" s="1"/>
  <c r="M275" i="17"/>
  <c r="N275" i="17" s="1"/>
  <c r="M274" i="17"/>
  <c r="M273" i="17"/>
  <c r="M272" i="17"/>
  <c r="N272" i="17" s="1"/>
  <c r="M271" i="17"/>
  <c r="N271" i="17" s="1"/>
  <c r="M270" i="17"/>
  <c r="M266" i="17"/>
  <c r="M265" i="17"/>
  <c r="N265" i="17" s="1"/>
  <c r="M263" i="17"/>
  <c r="M259" i="17"/>
  <c r="M258" i="17"/>
  <c r="N258" i="17" s="1"/>
  <c r="M257" i="17"/>
  <c r="M255" i="17"/>
  <c r="M253" i="17"/>
  <c r="M252" i="17"/>
  <c r="M251" i="17"/>
  <c r="M250" i="17"/>
  <c r="M249" i="17"/>
  <c r="M248" i="17"/>
  <c r="N248" i="17" s="1"/>
  <c r="M247" i="17"/>
  <c r="N247" i="17" s="1"/>
  <c r="M246" i="17"/>
  <c r="N246" i="17" s="1"/>
  <c r="M245" i="17"/>
  <c r="N245" i="17" s="1"/>
  <c r="M244" i="17"/>
  <c r="N244" i="17" s="1"/>
  <c r="M242" i="17"/>
  <c r="N242" i="17" s="1"/>
  <c r="M241" i="17"/>
  <c r="N241" i="17" s="1"/>
  <c r="M240" i="17"/>
  <c r="N240" i="17" s="1"/>
  <c r="M239" i="17"/>
  <c r="N239" i="17" s="1"/>
  <c r="M238" i="17"/>
  <c r="N238" i="17" s="1"/>
  <c r="M235" i="17"/>
  <c r="M234" i="17"/>
  <c r="N234" i="17" s="1"/>
  <c r="M233" i="17"/>
  <c r="N233" i="17" s="1"/>
  <c r="M232" i="17"/>
  <c r="N232" i="17" s="1"/>
  <c r="M231" i="17"/>
  <c r="N231" i="17" s="1"/>
  <c r="M229" i="17"/>
  <c r="M227" i="17"/>
  <c r="M226" i="17"/>
  <c r="M225" i="17"/>
  <c r="M224" i="17"/>
  <c r="M223" i="17"/>
  <c r="M222" i="17"/>
  <c r="M221" i="17"/>
  <c r="N221" i="17" s="1"/>
  <c r="M220" i="17"/>
  <c r="M219" i="17"/>
  <c r="M218" i="17"/>
  <c r="N218" i="17" s="1"/>
  <c r="M217" i="17"/>
  <c r="N217" i="17" s="1"/>
  <c r="M216" i="17"/>
  <c r="M215" i="17"/>
  <c r="M214" i="17"/>
  <c r="N214" i="17" s="1"/>
  <c r="M213" i="17"/>
  <c r="M210" i="17"/>
  <c r="M209" i="17"/>
  <c r="M208" i="17"/>
  <c r="M207" i="17"/>
  <c r="M206" i="17"/>
  <c r="N206" i="17" s="1"/>
  <c r="M205" i="17"/>
  <c r="N205" i="17" s="1"/>
  <c r="M204" i="17"/>
  <c r="M203" i="17"/>
  <c r="M202" i="17"/>
  <c r="N202" i="17" s="1"/>
  <c r="M201" i="17"/>
  <c r="M200" i="17"/>
  <c r="N200" i="17" s="1"/>
  <c r="M199" i="17"/>
  <c r="M198" i="17"/>
  <c r="M197" i="17"/>
  <c r="N197" i="17" s="1"/>
  <c r="M196" i="17"/>
  <c r="M195" i="17"/>
  <c r="N195" i="17" s="1"/>
  <c r="M194"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N164" i="17" s="1"/>
  <c r="M163" i="17"/>
  <c r="M162" i="17"/>
  <c r="N162" i="17" s="1"/>
  <c r="M161" i="17"/>
  <c r="M160" i="17"/>
  <c r="N160" i="17" s="1"/>
  <c r="M159" i="17"/>
  <c r="M158" i="17"/>
  <c r="N158" i="17" s="1"/>
  <c r="M157" i="17"/>
  <c r="N157" i="17" s="1"/>
  <c r="M156" i="17"/>
  <c r="M155" i="17"/>
  <c r="N155" i="17" s="1"/>
  <c r="M154" i="17"/>
  <c r="M153" i="17"/>
  <c r="N153" i="17" s="1"/>
  <c r="M152" i="17"/>
  <c r="N152" i="17" s="1"/>
  <c r="M151" i="17"/>
  <c r="M150" i="17"/>
  <c r="N150" i="17" s="1"/>
  <c r="M149" i="17"/>
  <c r="M148" i="17"/>
  <c r="N148" i="17" s="1"/>
  <c r="M147" i="17"/>
  <c r="N147" i="17" s="1"/>
  <c r="M146" i="17"/>
  <c r="M145" i="17"/>
  <c r="N145" i="17" s="1"/>
  <c r="M144" i="17"/>
  <c r="M143" i="17"/>
  <c r="N143" i="17" s="1"/>
  <c r="M142" i="17"/>
  <c r="N142" i="17" s="1"/>
  <c r="M141" i="17"/>
  <c r="M140" i="17"/>
  <c r="N140" i="17" s="1"/>
  <c r="M139" i="17"/>
  <c r="M138" i="17"/>
  <c r="N138" i="17" s="1"/>
  <c r="M137" i="17"/>
  <c r="N137" i="17" s="1"/>
  <c r="M136" i="17"/>
  <c r="M135" i="17"/>
  <c r="N135" i="17" s="1"/>
  <c r="M134" i="17"/>
  <c r="M133" i="17"/>
  <c r="N133" i="17" s="1"/>
  <c r="M132" i="17"/>
  <c r="N132" i="17" s="1"/>
  <c r="M131" i="17"/>
  <c r="M130" i="17"/>
  <c r="N130" i="17" s="1"/>
  <c r="M129" i="17"/>
  <c r="M128" i="17"/>
  <c r="N128" i="17" s="1"/>
  <c r="M127" i="17"/>
  <c r="N127" i="17" s="1"/>
  <c r="M126" i="17"/>
  <c r="M125" i="17"/>
  <c r="N125" i="17" s="1"/>
  <c r="M124" i="17"/>
  <c r="M123" i="17"/>
  <c r="N123" i="17" s="1"/>
  <c r="M122" i="17"/>
  <c r="N122" i="17" s="1"/>
  <c r="M121" i="17"/>
  <c r="M120" i="17"/>
  <c r="N120" i="17" s="1"/>
  <c r="M119" i="17"/>
  <c r="M118" i="17"/>
  <c r="N118" i="17" s="1"/>
  <c r="M117" i="17"/>
  <c r="N117" i="17" s="1"/>
  <c r="M116" i="17"/>
  <c r="M115" i="17"/>
  <c r="N115" i="17" s="1"/>
  <c r="M114" i="17"/>
  <c r="M113" i="17"/>
  <c r="N113" i="17" s="1"/>
  <c r="M112" i="17"/>
  <c r="M111" i="17"/>
  <c r="N111" i="17" s="1"/>
  <c r="M110" i="17"/>
  <c r="M109" i="17"/>
  <c r="M108" i="17"/>
  <c r="M107" i="17"/>
  <c r="N107" i="17" s="1"/>
  <c r="M106" i="17"/>
  <c r="N106" i="17" s="1"/>
  <c r="M105" i="17"/>
  <c r="N105" i="17" s="1"/>
  <c r="M103" i="17"/>
  <c r="M102" i="17"/>
  <c r="N102" i="17" s="1"/>
  <c r="M101" i="17"/>
  <c r="M100" i="17"/>
  <c r="N100" i="17" s="1"/>
  <c r="M99" i="17"/>
  <c r="M98" i="17"/>
  <c r="N98" i="17" s="1"/>
  <c r="M97" i="17"/>
  <c r="N97" i="17" s="1"/>
  <c r="M96" i="17"/>
  <c r="N96" i="17" s="1"/>
  <c r="M94" i="17"/>
  <c r="M93" i="17"/>
  <c r="N93" i="17" s="1"/>
  <c r="M92" i="17"/>
  <c r="M91" i="17"/>
  <c r="N91" i="17" s="1"/>
  <c r="M90" i="17"/>
  <c r="N90" i="17" s="1"/>
  <c r="M89" i="17"/>
  <c r="M88" i="17"/>
  <c r="N88" i="17" s="1"/>
  <c r="M87" i="17"/>
  <c r="N87" i="17" s="1"/>
  <c r="M86" i="17"/>
  <c r="N86" i="17" s="1"/>
  <c r="M85" i="17"/>
  <c r="M84" i="17"/>
  <c r="N84" i="17" s="1"/>
  <c r="M82" i="17"/>
  <c r="M81" i="17"/>
  <c r="N81" i="17" s="1"/>
  <c r="M80" i="17"/>
  <c r="N80" i="17" s="1"/>
  <c r="M79" i="17"/>
  <c r="M73" i="17"/>
  <c r="N73" i="17" s="1"/>
  <c r="M71" i="17"/>
  <c r="M70" i="17"/>
  <c r="M69" i="17"/>
  <c r="M68" i="17"/>
  <c r="M65" i="17"/>
  <c r="M64" i="17"/>
  <c r="M63" i="17"/>
  <c r="M62" i="17"/>
  <c r="M61" i="17"/>
  <c r="N61" i="17" s="1"/>
  <c r="M60" i="17"/>
  <c r="M59" i="17"/>
  <c r="N59" i="17" s="1"/>
  <c r="M58" i="17"/>
  <c r="N58" i="17" s="1"/>
  <c r="M57" i="17"/>
  <c r="M56" i="17"/>
  <c r="N56" i="17" s="1"/>
  <c r="M55" i="17"/>
  <c r="N55" i="17" s="1"/>
  <c r="M54" i="17"/>
  <c r="M53" i="17"/>
  <c r="M52" i="17"/>
  <c r="M51" i="17"/>
  <c r="N51" i="17" s="1"/>
  <c r="M50" i="17"/>
  <c r="N50" i="17" s="1"/>
  <c r="M49" i="17"/>
  <c r="M48" i="17"/>
  <c r="N48" i="17" s="1"/>
  <c r="M47" i="17"/>
  <c r="N47" i="17" s="1"/>
  <c r="M46" i="17"/>
  <c r="M45" i="17"/>
  <c r="N45" i="17" s="1"/>
  <c r="M44" i="17"/>
  <c r="N44" i="17" s="1"/>
  <c r="M43" i="17"/>
  <c r="M42" i="17"/>
  <c r="N42" i="17" s="1"/>
  <c r="M41" i="17"/>
  <c r="M40" i="17"/>
  <c r="N40" i="17" s="1"/>
  <c r="M39" i="17"/>
  <c r="M36" i="17"/>
  <c r="M33" i="17"/>
  <c r="M28" i="17"/>
  <c r="N28" i="17" s="1"/>
  <c r="M26" i="17"/>
  <c r="M25" i="17"/>
  <c r="M24" i="17"/>
  <c r="M23" i="17"/>
  <c r="M22" i="17"/>
  <c r="N22" i="17" s="1"/>
  <c r="M21" i="17"/>
  <c r="N21" i="17" s="1"/>
  <c r="M20" i="17"/>
  <c r="M17" i="17"/>
  <c r="M16" i="17"/>
  <c r="N16" i="17" s="1"/>
  <c r="M13" i="17"/>
  <c r="M8" i="17"/>
  <c r="N8" i="17" s="1"/>
  <c r="K1847" i="17"/>
  <c r="O1847" i="17" s="1"/>
  <c r="K1846" i="17"/>
  <c r="O1846" i="17" s="1"/>
  <c r="P1846" i="17" s="1"/>
  <c r="K1845" i="17"/>
  <c r="O1845" i="17" s="1"/>
  <c r="K1844" i="17"/>
  <c r="O1844" i="17" s="1"/>
  <c r="P1844" i="17" s="1"/>
  <c r="K1843" i="17"/>
  <c r="O1843" i="17" s="1"/>
  <c r="K1842" i="17"/>
  <c r="O1842" i="17" s="1"/>
  <c r="P1842" i="17" s="1"/>
  <c r="K1841" i="17"/>
  <c r="O1841" i="17" s="1"/>
  <c r="K1840" i="17"/>
  <c r="O1840" i="17" s="1"/>
  <c r="K1839" i="17"/>
  <c r="O1839" i="17" s="1"/>
  <c r="P1839" i="17" s="1"/>
  <c r="K1838" i="17"/>
  <c r="O1838" i="17" s="1"/>
  <c r="P1838" i="17" s="1"/>
  <c r="K1837" i="17"/>
  <c r="O1837" i="17" s="1"/>
  <c r="P1837" i="17" s="1"/>
  <c r="K1836" i="17"/>
  <c r="O1836" i="17" s="1"/>
  <c r="P1836" i="17" s="1"/>
  <c r="K1832" i="17"/>
  <c r="O1832" i="17" s="1"/>
  <c r="K1831" i="17"/>
  <c r="O1831" i="17" s="1"/>
  <c r="P1831" i="17" s="1"/>
  <c r="K1830" i="17"/>
  <c r="O1830" i="17" s="1"/>
  <c r="K1829" i="17"/>
  <c r="O1829" i="17" s="1"/>
  <c r="K1828" i="17"/>
  <c r="O1828" i="17" s="1"/>
  <c r="K1827" i="17"/>
  <c r="O1827" i="17" s="1"/>
  <c r="K1826" i="17"/>
  <c r="O1826" i="17" s="1"/>
  <c r="P1826" i="17" s="1"/>
  <c r="K1825" i="17"/>
  <c r="O1825" i="17" s="1"/>
  <c r="K1824" i="17"/>
  <c r="O1824" i="17" s="1"/>
  <c r="P1824" i="17" s="1"/>
  <c r="K1823" i="17"/>
  <c r="O1823" i="17" s="1"/>
  <c r="K1822" i="17"/>
  <c r="O1822" i="17" s="1"/>
  <c r="P1822" i="17" s="1"/>
  <c r="K1821" i="17"/>
  <c r="O1821" i="17" s="1"/>
  <c r="K1820" i="17"/>
  <c r="O1820" i="17" s="1"/>
  <c r="P1820" i="17" s="1"/>
  <c r="K1819" i="17"/>
  <c r="O1819" i="17" s="1"/>
  <c r="K1818" i="17"/>
  <c r="O1818" i="17" s="1"/>
  <c r="P1818" i="17" s="1"/>
  <c r="K1817" i="17"/>
  <c r="O1817" i="17" s="1"/>
  <c r="K1816" i="17"/>
  <c r="O1816" i="17" s="1"/>
  <c r="P1816" i="17" s="1"/>
  <c r="K1815" i="17"/>
  <c r="O1815" i="17" s="1"/>
  <c r="K1814" i="17"/>
  <c r="O1814" i="17" s="1"/>
  <c r="P1814" i="17" s="1"/>
  <c r="K1813" i="17"/>
  <c r="O1813" i="17" s="1"/>
  <c r="K1812" i="17"/>
  <c r="O1812" i="17" s="1"/>
  <c r="P1812" i="17" s="1"/>
  <c r="K1811" i="17"/>
  <c r="O1811" i="17" s="1"/>
  <c r="K1810" i="17"/>
  <c r="O1810" i="17" s="1"/>
  <c r="P1810" i="17" s="1"/>
  <c r="K1809" i="17"/>
  <c r="O1809" i="17" s="1"/>
  <c r="K1808" i="17"/>
  <c r="O1808" i="17" s="1"/>
  <c r="P1808" i="17" s="1"/>
  <c r="K1807" i="17"/>
  <c r="O1807" i="17" s="1"/>
  <c r="P1807" i="17" s="1"/>
  <c r="K1806" i="17"/>
  <c r="O1806" i="17" s="1"/>
  <c r="P1806" i="17" s="1"/>
  <c r="K1805" i="17"/>
  <c r="O1805" i="17" s="1"/>
  <c r="P1805" i="17" s="1"/>
  <c r="K1804" i="17"/>
  <c r="O1804" i="17" s="1"/>
  <c r="P1804" i="17" s="1"/>
  <c r="K1803" i="17"/>
  <c r="O1803" i="17" s="1"/>
  <c r="K1801" i="17"/>
  <c r="O1801" i="17" s="1"/>
  <c r="P1801" i="17" s="1"/>
  <c r="K1800" i="17"/>
  <c r="O1800" i="17" s="1"/>
  <c r="K1798" i="17"/>
  <c r="O1798" i="17" s="1"/>
  <c r="K1797" i="17"/>
  <c r="O1797" i="17" s="1"/>
  <c r="P1797" i="17" s="1"/>
  <c r="K1795" i="17"/>
  <c r="O1795" i="17" s="1"/>
  <c r="K1794" i="17"/>
  <c r="O1794" i="17" s="1"/>
  <c r="P1794" i="17" s="1"/>
  <c r="K1793" i="17"/>
  <c r="O1793" i="17" s="1"/>
  <c r="P1793" i="17" s="1"/>
  <c r="K1792" i="17"/>
  <c r="O1792" i="17" s="1"/>
  <c r="K1791" i="17"/>
  <c r="O1791" i="17" s="1"/>
  <c r="K1790" i="17"/>
  <c r="O1790" i="17" s="1"/>
  <c r="P1790" i="17" s="1"/>
  <c r="K1789" i="17"/>
  <c r="O1789" i="17" s="1"/>
  <c r="P1789" i="17" s="1"/>
  <c r="K1788" i="17"/>
  <c r="O1788" i="17" s="1"/>
  <c r="K1785" i="17"/>
  <c r="O1785" i="17" s="1"/>
  <c r="K1784" i="17"/>
  <c r="O1784" i="17" s="1"/>
  <c r="P1784" i="17" s="1"/>
  <c r="K1783" i="17"/>
  <c r="O1783" i="17" s="1"/>
  <c r="P1783" i="17" s="1"/>
  <c r="K1782" i="17"/>
  <c r="O1782" i="17" s="1"/>
  <c r="K1781" i="17"/>
  <c r="O1781" i="17" s="1"/>
  <c r="K1778" i="17"/>
  <c r="O1778" i="17" s="1"/>
  <c r="K1777" i="17"/>
  <c r="O1777" i="17" s="1"/>
  <c r="P1777" i="17" s="1"/>
  <c r="K1776" i="17"/>
  <c r="O1776" i="17" s="1"/>
  <c r="K1774" i="17"/>
  <c r="O1774" i="17" s="1"/>
  <c r="P1774" i="17" s="1"/>
  <c r="K1773" i="17"/>
  <c r="O1773" i="17" s="1"/>
  <c r="K1769" i="17"/>
  <c r="O1769" i="17" s="1"/>
  <c r="K1763" i="17"/>
  <c r="O1763" i="17" s="1"/>
  <c r="P1763" i="17" s="1"/>
  <c r="K1761" i="17"/>
  <c r="O1761" i="17" s="1"/>
  <c r="K1760" i="17"/>
  <c r="O1760" i="17" s="1"/>
  <c r="K1759" i="17"/>
  <c r="O1759" i="17" s="1"/>
  <c r="K1758" i="17"/>
  <c r="O1758" i="17" s="1"/>
  <c r="K1757" i="17"/>
  <c r="O1757" i="17" s="1"/>
  <c r="P1757" i="17" s="1"/>
  <c r="K1756" i="17"/>
  <c r="O1756" i="17" s="1"/>
  <c r="K1755" i="17"/>
  <c r="O1755" i="17" s="1"/>
  <c r="P1755" i="17" s="1"/>
  <c r="K1754" i="17"/>
  <c r="O1754" i="17" s="1"/>
  <c r="K1751" i="17"/>
  <c r="O1751" i="17" s="1"/>
  <c r="K1750" i="17"/>
  <c r="O1750" i="17" s="1"/>
  <c r="P1750" i="17" s="1"/>
  <c r="K1749" i="17"/>
  <c r="O1749" i="17" s="1"/>
  <c r="K1748" i="17"/>
  <c r="O1748" i="17" s="1"/>
  <c r="P1748" i="17" s="1"/>
  <c r="K1747" i="17"/>
  <c r="O1747" i="17" s="1"/>
  <c r="K1746" i="17"/>
  <c r="O1746" i="17" s="1"/>
  <c r="P1746" i="17" s="1"/>
  <c r="K1745" i="17"/>
  <c r="O1745" i="17" s="1"/>
  <c r="K1744" i="17"/>
  <c r="O1744" i="17" s="1"/>
  <c r="P1744" i="17" s="1"/>
  <c r="K1743" i="17"/>
  <c r="O1743" i="17" s="1"/>
  <c r="K1742" i="17"/>
  <c r="O1742" i="17" s="1"/>
  <c r="P1742" i="17" s="1"/>
  <c r="K1741" i="17"/>
  <c r="O1741" i="17" s="1"/>
  <c r="K1740" i="17"/>
  <c r="O1740" i="17" s="1"/>
  <c r="P1740" i="17" s="1"/>
  <c r="K1739" i="17"/>
  <c r="O1739" i="17" s="1"/>
  <c r="P1739" i="17" s="1"/>
  <c r="K1738" i="17"/>
  <c r="O1738" i="17" s="1"/>
  <c r="K1736" i="17"/>
  <c r="O1736" i="17" s="1"/>
  <c r="K1735" i="17"/>
  <c r="O1735" i="17" s="1"/>
  <c r="P1735" i="17" s="1"/>
  <c r="K1733" i="17"/>
  <c r="O1733" i="17" s="1"/>
  <c r="K1732" i="17"/>
  <c r="O1732" i="17" s="1"/>
  <c r="P1732" i="17" s="1"/>
  <c r="K1731" i="17"/>
  <c r="O1731" i="17" s="1"/>
  <c r="P1731" i="17" s="1"/>
  <c r="K1730" i="17"/>
  <c r="O1730" i="17" s="1"/>
  <c r="K1729" i="17"/>
  <c r="O1729" i="17" s="1"/>
  <c r="K1728" i="17"/>
  <c r="O1728" i="17" s="1"/>
  <c r="P1728" i="17" s="1"/>
  <c r="K1727" i="17"/>
  <c r="O1727" i="17" s="1"/>
  <c r="P1727" i="17" s="1"/>
  <c r="K1726" i="17"/>
  <c r="O1726" i="17" s="1"/>
  <c r="K1723" i="17"/>
  <c r="O1723" i="17" s="1"/>
  <c r="K1722" i="17"/>
  <c r="O1722" i="17" s="1"/>
  <c r="P1722" i="17" s="1"/>
  <c r="K1721" i="17"/>
  <c r="O1721" i="17" s="1"/>
  <c r="P1721" i="17" s="1"/>
  <c r="K1720" i="17"/>
  <c r="O1720" i="17" s="1"/>
  <c r="K1717" i="17"/>
  <c r="O1717" i="17" s="1"/>
  <c r="K1716" i="17"/>
  <c r="O1716" i="17" s="1"/>
  <c r="P1716" i="17" s="1"/>
  <c r="K1715" i="17"/>
  <c r="O1715" i="17" s="1"/>
  <c r="P1715" i="17" s="1"/>
  <c r="K1713" i="17"/>
  <c r="O1713" i="17" s="1"/>
  <c r="K1708" i="17"/>
  <c r="O1708" i="17" s="1"/>
  <c r="P1708" i="17" s="1"/>
  <c r="K1706" i="17"/>
  <c r="O1706" i="17" s="1"/>
  <c r="K1705" i="17"/>
  <c r="O1705" i="17" s="1"/>
  <c r="K1704" i="17"/>
  <c r="O1704" i="17" s="1"/>
  <c r="K1703" i="17"/>
  <c r="O1703" i="17" s="1"/>
  <c r="K1702" i="17"/>
  <c r="O1702" i="17" s="1"/>
  <c r="P1702" i="17" s="1"/>
  <c r="K1701" i="17"/>
  <c r="O1701" i="17" s="1"/>
  <c r="K1700" i="17"/>
  <c r="O1700" i="17" s="1"/>
  <c r="P1700" i="17" s="1"/>
  <c r="K1699" i="17"/>
  <c r="O1699" i="17" s="1"/>
  <c r="P1699" i="17" s="1"/>
  <c r="K1698" i="17"/>
  <c r="O1698" i="17" s="1"/>
  <c r="K1696" i="17"/>
  <c r="O1696" i="17" s="1"/>
  <c r="K1695" i="17"/>
  <c r="O1695" i="17" s="1"/>
  <c r="P1695" i="17" s="1"/>
  <c r="K1694" i="17"/>
  <c r="O1694" i="17" s="1"/>
  <c r="K1693" i="17"/>
  <c r="O1693" i="17" s="1"/>
  <c r="P1693" i="17" s="1"/>
  <c r="K1692" i="17"/>
  <c r="O1692" i="17" s="1"/>
  <c r="P1692" i="17" s="1"/>
  <c r="K1690" i="17"/>
  <c r="O1690" i="17" s="1"/>
  <c r="K1689" i="17"/>
  <c r="O1689" i="17" s="1"/>
  <c r="P1689" i="17" s="1"/>
  <c r="K1688" i="17"/>
  <c r="O1688" i="17" s="1"/>
  <c r="K1687" i="17"/>
  <c r="O1687" i="17" s="1"/>
  <c r="P1687" i="17" s="1"/>
  <c r="K1686" i="17"/>
  <c r="O1686" i="17" s="1"/>
  <c r="K1685" i="17"/>
  <c r="O1685" i="17" s="1"/>
  <c r="K1684" i="17"/>
  <c r="O1684" i="17" s="1"/>
  <c r="P1684" i="17" s="1"/>
  <c r="K1683" i="17"/>
  <c r="O1683" i="17" s="1"/>
  <c r="K1682" i="17"/>
  <c r="O1682" i="17" s="1"/>
  <c r="P1682" i="17" s="1"/>
  <c r="K1681" i="17"/>
  <c r="O1681" i="17" s="1"/>
  <c r="P1681" i="17" s="1"/>
  <c r="K1680" i="17"/>
  <c r="O1680" i="17" s="1"/>
  <c r="K1678" i="17"/>
  <c r="O1678" i="17" s="1"/>
  <c r="K1677" i="17"/>
  <c r="O1677" i="17" s="1"/>
  <c r="P1677" i="17" s="1"/>
  <c r="K1675" i="17"/>
  <c r="O1675" i="17" s="1"/>
  <c r="K1674" i="17"/>
  <c r="O1674" i="17" s="1"/>
  <c r="P1674" i="17" s="1"/>
  <c r="K1672" i="17"/>
  <c r="O1672" i="17" s="1"/>
  <c r="K1671" i="17"/>
  <c r="O1671" i="17" s="1"/>
  <c r="K1670" i="17"/>
  <c r="O1670" i="17" s="1"/>
  <c r="P1670" i="17" s="1"/>
  <c r="K1669" i="17"/>
  <c r="O1669" i="17" s="1"/>
  <c r="P1669" i="17" s="1"/>
  <c r="K1668" i="17"/>
  <c r="O1668" i="17" s="1"/>
  <c r="K1667" i="17"/>
  <c r="O1667" i="17" s="1"/>
  <c r="K1665" i="17"/>
  <c r="O1665" i="17" s="1"/>
  <c r="P1665" i="17" s="1"/>
  <c r="K1664" i="17"/>
  <c r="O1664" i="17" s="1"/>
  <c r="K1662" i="17"/>
  <c r="O1662" i="17" s="1"/>
  <c r="K1661" i="17"/>
  <c r="O1661" i="17" s="1"/>
  <c r="P1661" i="17" s="1"/>
  <c r="K1660" i="17"/>
  <c r="O1660" i="17" s="1"/>
  <c r="P1660" i="17" s="1"/>
  <c r="K1659" i="17"/>
  <c r="O1659" i="17" s="1"/>
  <c r="K1657" i="17"/>
  <c r="O1657" i="17" s="1"/>
  <c r="K1656" i="17"/>
  <c r="O1656" i="17" s="1"/>
  <c r="P1656" i="17" s="1"/>
  <c r="K1654" i="17"/>
  <c r="O1654" i="17" s="1"/>
  <c r="K1652" i="17"/>
  <c r="O1652" i="17" s="1"/>
  <c r="K1650" i="17"/>
  <c r="O1650" i="17" s="1"/>
  <c r="K1649" i="17"/>
  <c r="O1649" i="17" s="1"/>
  <c r="P1649" i="17" s="1"/>
  <c r="K1648" i="17"/>
  <c r="O1648" i="17" s="1"/>
  <c r="P1648" i="17" s="1"/>
  <c r="K1647" i="17"/>
  <c r="O1647" i="17" s="1"/>
  <c r="K1644" i="17"/>
  <c r="O1644" i="17" s="1"/>
  <c r="K1643" i="17"/>
  <c r="O1643" i="17" s="1"/>
  <c r="P1643" i="17" s="1"/>
  <c r="K1642" i="17"/>
  <c r="O1642" i="17" s="1"/>
  <c r="P1642" i="17" s="1"/>
  <c r="K1641" i="17"/>
  <c r="O1641" i="17" s="1"/>
  <c r="K1637" i="17"/>
  <c r="O1637" i="17" s="1"/>
  <c r="K1632" i="17"/>
  <c r="O1632" i="17" s="1"/>
  <c r="P1632" i="17" s="1"/>
  <c r="K1630" i="17"/>
  <c r="O1630" i="17" s="1"/>
  <c r="K1629" i="17"/>
  <c r="O1629" i="17" s="1"/>
  <c r="K1628" i="17"/>
  <c r="O1628" i="17" s="1"/>
  <c r="K1627" i="17"/>
  <c r="O1627" i="17" s="1"/>
  <c r="K1626" i="17"/>
  <c r="O1626" i="17" s="1"/>
  <c r="P1626" i="17" s="1"/>
  <c r="K1625" i="17"/>
  <c r="O1625" i="17" s="1"/>
  <c r="K1624" i="17"/>
  <c r="O1624" i="17" s="1"/>
  <c r="P1624" i="17" s="1"/>
  <c r="K1623" i="17"/>
  <c r="O1623" i="17" s="1"/>
  <c r="K1622" i="17"/>
  <c r="O1622" i="17" s="1"/>
  <c r="P1622" i="17" s="1"/>
  <c r="K1621" i="17"/>
  <c r="O1621" i="17" s="1"/>
  <c r="K1619" i="17"/>
  <c r="O1619" i="17" s="1"/>
  <c r="P1619" i="17" s="1"/>
  <c r="K1618" i="17"/>
  <c r="O1618" i="17" s="1"/>
  <c r="K1617" i="17"/>
  <c r="O1617" i="17" s="1"/>
  <c r="K1616" i="17"/>
  <c r="O1616" i="17" s="1"/>
  <c r="K1615" i="17"/>
  <c r="O1615" i="17" s="1"/>
  <c r="P1615" i="17" s="1"/>
  <c r="K1614" i="17"/>
  <c r="O1614" i="17" s="1"/>
  <c r="K1613" i="17"/>
  <c r="O1613" i="17" s="1"/>
  <c r="K1612" i="17"/>
  <c r="O1612" i="17" s="1"/>
  <c r="K1611" i="17"/>
  <c r="O1611" i="17" s="1"/>
  <c r="P1611" i="17" s="1"/>
  <c r="K1609" i="17"/>
  <c r="O1609" i="17" s="1"/>
  <c r="K1608" i="17"/>
  <c r="O1608" i="17" s="1"/>
  <c r="P1608" i="17" s="1"/>
  <c r="K1607" i="17"/>
  <c r="O1607" i="17" s="1"/>
  <c r="K1606" i="17"/>
  <c r="O1606" i="17" s="1"/>
  <c r="K1605" i="17"/>
  <c r="O1605" i="17" s="1"/>
  <c r="P1605" i="17" s="1"/>
  <c r="K1604" i="17"/>
  <c r="O1604" i="17" s="1"/>
  <c r="P1604" i="17" s="1"/>
  <c r="K1603" i="17"/>
  <c r="O1603" i="17" s="1"/>
  <c r="K1600" i="17"/>
  <c r="O1600" i="17" s="1"/>
  <c r="K1598" i="17"/>
  <c r="O1598" i="17" s="1"/>
  <c r="K1597" i="17"/>
  <c r="O1597" i="17" s="1"/>
  <c r="P1597" i="17" s="1"/>
  <c r="K1595" i="17"/>
  <c r="O1595" i="17" s="1"/>
  <c r="K1594" i="17"/>
  <c r="O1594" i="17" s="1"/>
  <c r="P1594" i="17" s="1"/>
  <c r="K1593" i="17"/>
  <c r="O1593" i="17" s="1"/>
  <c r="P1593" i="17" s="1"/>
  <c r="K1592" i="17"/>
  <c r="O1592" i="17" s="1"/>
  <c r="K1591" i="17"/>
  <c r="O1591" i="17" s="1"/>
  <c r="K1590" i="17"/>
  <c r="O1590" i="17" s="1"/>
  <c r="P1590" i="17" s="1"/>
  <c r="K1589" i="17"/>
  <c r="O1589" i="17" s="1"/>
  <c r="P1589" i="17" s="1"/>
  <c r="K1588" i="17"/>
  <c r="O1588" i="17" s="1"/>
  <c r="K1586" i="17"/>
  <c r="O1586" i="17" s="1"/>
  <c r="K1584" i="17"/>
  <c r="O1584" i="17" s="1"/>
  <c r="K1582" i="17"/>
  <c r="O1582" i="17" s="1"/>
  <c r="P1582" i="17" s="1"/>
  <c r="K1581" i="17"/>
  <c r="O1581" i="17" s="1"/>
  <c r="K1578" i="17"/>
  <c r="O1578" i="17" s="1"/>
  <c r="K1577" i="17"/>
  <c r="O1577" i="17" s="1"/>
  <c r="P1577" i="17" s="1"/>
  <c r="K1576" i="17"/>
  <c r="O1576" i="17" s="1"/>
  <c r="P1576" i="17" s="1"/>
  <c r="K1574" i="17"/>
  <c r="O1574" i="17" s="1"/>
  <c r="K1569" i="17"/>
  <c r="O1569" i="17" s="1"/>
  <c r="P1569" i="17" s="1"/>
  <c r="K1567" i="17"/>
  <c r="O1567" i="17" s="1"/>
  <c r="K1566" i="17"/>
  <c r="O1566" i="17" s="1"/>
  <c r="K1565" i="17"/>
  <c r="O1565" i="17" s="1"/>
  <c r="K1564" i="17"/>
  <c r="O1564" i="17" s="1"/>
  <c r="K1563" i="17"/>
  <c r="O1563" i="17" s="1"/>
  <c r="P1563" i="17" s="1"/>
  <c r="K1562" i="17"/>
  <c r="O1562" i="17" s="1"/>
  <c r="K1561" i="17"/>
  <c r="O1561" i="17" s="1"/>
  <c r="P1561" i="17" s="1"/>
  <c r="K1560" i="17"/>
  <c r="O1560" i="17" s="1"/>
  <c r="P1560" i="17" s="1"/>
  <c r="K1559" i="17"/>
  <c r="O1559" i="17" s="1"/>
  <c r="K1558" i="17"/>
  <c r="O1558" i="17" s="1"/>
  <c r="P1558" i="17" s="1"/>
  <c r="K1557" i="17"/>
  <c r="O1557" i="17" s="1"/>
  <c r="K1556" i="17"/>
  <c r="O1556" i="17" s="1"/>
  <c r="P1556" i="17" s="1"/>
  <c r="K1555" i="17"/>
  <c r="O1555" i="17" s="1"/>
  <c r="K1554" i="17"/>
  <c r="O1554" i="17" s="1"/>
  <c r="P1554" i="17" s="1"/>
  <c r="K1553" i="17"/>
  <c r="O1553" i="17" s="1"/>
  <c r="K1552" i="17"/>
  <c r="O1552" i="17" s="1"/>
  <c r="P1552" i="17" s="1"/>
  <c r="K1551" i="17"/>
  <c r="O1551" i="17" s="1"/>
  <c r="K1550" i="17"/>
  <c r="O1550" i="17" s="1"/>
  <c r="K1549" i="17"/>
  <c r="O1549" i="17" s="1"/>
  <c r="K1548" i="17"/>
  <c r="O1548" i="17" s="1"/>
  <c r="P1548" i="17" s="1"/>
  <c r="K1547" i="17"/>
  <c r="O1547" i="17" s="1"/>
  <c r="K1546" i="17"/>
  <c r="O1546" i="17" s="1"/>
  <c r="P1546" i="17" s="1"/>
  <c r="K1545" i="17"/>
  <c r="O1545" i="17" s="1"/>
  <c r="P1545" i="17" s="1"/>
  <c r="K1544" i="17"/>
  <c r="O1544" i="17" s="1"/>
  <c r="P1544" i="17" s="1"/>
  <c r="K1542" i="17"/>
  <c r="O1542" i="17" s="1"/>
  <c r="K1541" i="17"/>
  <c r="O1541" i="17" s="1"/>
  <c r="P1541" i="17" s="1"/>
  <c r="K1540" i="17"/>
  <c r="O1540" i="17" s="1"/>
  <c r="P1540" i="17" s="1"/>
  <c r="K1539" i="17"/>
  <c r="O1539" i="17" s="1"/>
  <c r="K1537" i="17"/>
  <c r="O1537" i="17" s="1"/>
  <c r="K1536" i="17"/>
  <c r="O1536" i="17" s="1"/>
  <c r="P1536" i="17" s="1"/>
  <c r="K1535" i="17"/>
  <c r="O1535" i="17" s="1"/>
  <c r="P1535" i="17" s="1"/>
  <c r="K1533" i="17"/>
  <c r="O1533" i="17" s="1"/>
  <c r="K1532" i="17"/>
  <c r="O1532" i="17" s="1"/>
  <c r="P1532" i="17" s="1"/>
  <c r="K1531" i="17"/>
  <c r="O1531" i="17" s="1"/>
  <c r="P1531" i="17" s="1"/>
  <c r="K1530" i="17"/>
  <c r="O1530" i="17" s="1"/>
  <c r="K1529" i="17"/>
  <c r="O1529" i="17" s="1"/>
  <c r="K1528" i="17"/>
  <c r="O1528" i="17" s="1"/>
  <c r="P1528" i="17" s="1"/>
  <c r="K1527" i="17"/>
  <c r="O1527" i="17" s="1"/>
  <c r="P1527" i="17" s="1"/>
  <c r="K1526" i="17"/>
  <c r="O1526" i="17" s="1"/>
  <c r="K1524" i="17"/>
  <c r="O1524" i="17" s="1"/>
  <c r="K1523" i="17"/>
  <c r="O1523" i="17" s="1"/>
  <c r="P1523" i="17" s="1"/>
  <c r="K1522" i="17"/>
  <c r="O1522" i="17" s="1"/>
  <c r="P1522" i="17" s="1"/>
  <c r="K1521" i="17"/>
  <c r="O1521" i="17" s="1"/>
  <c r="K1519" i="17"/>
  <c r="O1519" i="17" s="1"/>
  <c r="K1517" i="17"/>
  <c r="O1517" i="17" s="1"/>
  <c r="K1516" i="17"/>
  <c r="O1516" i="17" s="1"/>
  <c r="P1516" i="17" s="1"/>
  <c r="K1515" i="17"/>
  <c r="O1515" i="17" s="1"/>
  <c r="P1515" i="17" s="1"/>
  <c r="K1514" i="17"/>
  <c r="O1514" i="17" s="1"/>
  <c r="K1511" i="17"/>
  <c r="O1511" i="17" s="1"/>
  <c r="K1510" i="17"/>
  <c r="O1510" i="17" s="1"/>
  <c r="P1510" i="17" s="1"/>
  <c r="K1509" i="17"/>
  <c r="O1509" i="17" s="1"/>
  <c r="P1509" i="17" s="1"/>
  <c r="K1508" i="17"/>
  <c r="O1508" i="17" s="1"/>
  <c r="K1505" i="17"/>
  <c r="O1505" i="17" s="1"/>
  <c r="K1504" i="17"/>
  <c r="O1504" i="17" s="1"/>
  <c r="P1504" i="17" s="1"/>
  <c r="K1503" i="17"/>
  <c r="O1503" i="17" s="1"/>
  <c r="P1503" i="17" s="1"/>
  <c r="K1501" i="17"/>
  <c r="O1501" i="17" s="1"/>
  <c r="K1496" i="17"/>
  <c r="O1496" i="17" s="1"/>
  <c r="P1496" i="17" s="1"/>
  <c r="K1494" i="17"/>
  <c r="O1494" i="17" s="1"/>
  <c r="K1493" i="17"/>
  <c r="O1493" i="17" s="1"/>
  <c r="K1492" i="17"/>
  <c r="O1492" i="17" s="1"/>
  <c r="K1491" i="17"/>
  <c r="O1491" i="17" s="1"/>
  <c r="K1490" i="17"/>
  <c r="O1490" i="17" s="1"/>
  <c r="P1490" i="17" s="1"/>
  <c r="K1489" i="17"/>
  <c r="O1489" i="17" s="1"/>
  <c r="K1488" i="17"/>
  <c r="O1488" i="17" s="1"/>
  <c r="P1488" i="17" s="1"/>
  <c r="K1487" i="17"/>
  <c r="O1487" i="17" s="1"/>
  <c r="K1486" i="17"/>
  <c r="O1486" i="17" s="1"/>
  <c r="P1486" i="17" s="1"/>
  <c r="K1485" i="17"/>
  <c r="O1485" i="17" s="1"/>
  <c r="K1484" i="17"/>
  <c r="O1484" i="17" s="1"/>
  <c r="P1484" i="17" s="1"/>
  <c r="K1483" i="17"/>
  <c r="O1483" i="17" s="1"/>
  <c r="P1483" i="17" s="1"/>
  <c r="K1482" i="17"/>
  <c r="O1482" i="17" s="1"/>
  <c r="K1481" i="17"/>
  <c r="O1481" i="17" s="1"/>
  <c r="P1481" i="17" s="1"/>
  <c r="K1480" i="17"/>
  <c r="O1480" i="17" s="1"/>
  <c r="K1479" i="17"/>
  <c r="O1479" i="17" s="1"/>
  <c r="P1479" i="17" s="1"/>
  <c r="K1478" i="17"/>
  <c r="O1478" i="17" s="1"/>
  <c r="K1477" i="17"/>
  <c r="O1477" i="17" s="1"/>
  <c r="P1477" i="17" s="1"/>
  <c r="K1476" i="17"/>
  <c r="O1476" i="17" s="1"/>
  <c r="K1475" i="17"/>
  <c r="O1475" i="17" s="1"/>
  <c r="P1475" i="17" s="1"/>
  <c r="K1474" i="17"/>
  <c r="O1474" i="17" s="1"/>
  <c r="K1471" i="17"/>
  <c r="O1471" i="17" s="1"/>
  <c r="K1469" i="17"/>
  <c r="O1469" i="17" s="1"/>
  <c r="K1468" i="17"/>
  <c r="O1468" i="17" s="1"/>
  <c r="P1468" i="17" s="1"/>
  <c r="K1466" i="17"/>
  <c r="O1466" i="17" s="1"/>
  <c r="K1465" i="17"/>
  <c r="O1465" i="17" s="1"/>
  <c r="P1465" i="17" s="1"/>
  <c r="K1464" i="17"/>
  <c r="O1464" i="17" s="1"/>
  <c r="P1464" i="17" s="1"/>
  <c r="K1463" i="17"/>
  <c r="O1463" i="17" s="1"/>
  <c r="K1462" i="17"/>
  <c r="O1462" i="17" s="1"/>
  <c r="K1459" i="17"/>
  <c r="O1459" i="17" s="1"/>
  <c r="K1456" i="17"/>
  <c r="O1456" i="17" s="1"/>
  <c r="K1455" i="17"/>
  <c r="O1455" i="17" s="1"/>
  <c r="P1455" i="17" s="1"/>
  <c r="K1454" i="17"/>
  <c r="O1454" i="17" s="1"/>
  <c r="P1454" i="17" s="1"/>
  <c r="K1453" i="17"/>
  <c r="O1453" i="17" s="1"/>
  <c r="K1450" i="17"/>
  <c r="O1450" i="17" s="1"/>
  <c r="K1445" i="17"/>
  <c r="O1445" i="17" s="1"/>
  <c r="P1445" i="17" s="1"/>
  <c r="K1443" i="17"/>
  <c r="O1443" i="17" s="1"/>
  <c r="K1442" i="17"/>
  <c r="O1442" i="17" s="1"/>
  <c r="K1441" i="17"/>
  <c r="O1441" i="17" s="1"/>
  <c r="K1440" i="17"/>
  <c r="O1440" i="17" s="1"/>
  <c r="K1439" i="17"/>
  <c r="O1439" i="17" s="1"/>
  <c r="P1439" i="17" s="1"/>
  <c r="K1438" i="17"/>
  <c r="O1438" i="17" s="1"/>
  <c r="K1437" i="17"/>
  <c r="O1437" i="17" s="1"/>
  <c r="P1437" i="17" s="1"/>
  <c r="K1436" i="17"/>
  <c r="O1436" i="17" s="1"/>
  <c r="P1436" i="17" s="1"/>
  <c r="K1435" i="17"/>
  <c r="O1435" i="17" s="1"/>
  <c r="K1434" i="17"/>
  <c r="O1434" i="17" s="1"/>
  <c r="P1434" i="17" s="1"/>
  <c r="K1433" i="17"/>
  <c r="O1433" i="17" s="1"/>
  <c r="P1433" i="17" s="1"/>
  <c r="K1432" i="17"/>
  <c r="O1432" i="17" s="1"/>
  <c r="K1431" i="17"/>
  <c r="O1431" i="17" s="1"/>
  <c r="P1431" i="17" s="1"/>
  <c r="K1430" i="17"/>
  <c r="O1430" i="17" s="1"/>
  <c r="K1429" i="17"/>
  <c r="O1429" i="17" s="1"/>
  <c r="P1429" i="17" s="1"/>
  <c r="K1428" i="17"/>
  <c r="O1428" i="17" s="1"/>
  <c r="P1428" i="17" s="1"/>
  <c r="K1427" i="17"/>
  <c r="O1427" i="17" s="1"/>
  <c r="K1426" i="17"/>
  <c r="O1426" i="17" s="1"/>
  <c r="P1426" i="17" s="1"/>
  <c r="K1425" i="17"/>
  <c r="O1425" i="17" s="1"/>
  <c r="K1423" i="17"/>
  <c r="O1423" i="17" s="1"/>
  <c r="K1422" i="17"/>
  <c r="O1422" i="17" s="1"/>
  <c r="P1422" i="17" s="1"/>
  <c r="K1421" i="17"/>
  <c r="O1421" i="17" s="1"/>
  <c r="K1420" i="17"/>
  <c r="O1420" i="17" s="1"/>
  <c r="P1420" i="17" s="1"/>
  <c r="K1419" i="17"/>
  <c r="O1419" i="17" s="1"/>
  <c r="K1418" i="17"/>
  <c r="O1418" i="17" s="1"/>
  <c r="P1418" i="17" s="1"/>
  <c r="K1417" i="17"/>
  <c r="O1417" i="17" s="1"/>
  <c r="K1416" i="17"/>
  <c r="O1416" i="17" s="1"/>
  <c r="P1416" i="17" s="1"/>
  <c r="K1415" i="17"/>
  <c r="O1415" i="17" s="1"/>
  <c r="K1414" i="17"/>
  <c r="O1414" i="17" s="1"/>
  <c r="P1414" i="17" s="1"/>
  <c r="K1413" i="17"/>
  <c r="O1413" i="17" s="1"/>
  <c r="K1412" i="17"/>
  <c r="O1412" i="17" s="1"/>
  <c r="K1411" i="17"/>
  <c r="O1411" i="17" s="1"/>
  <c r="K1410" i="17"/>
  <c r="O1410" i="17" s="1"/>
  <c r="P1410" i="17" s="1"/>
  <c r="K1409" i="17"/>
  <c r="O1409" i="17" s="1"/>
  <c r="K1408" i="17"/>
  <c r="O1408" i="17" s="1"/>
  <c r="P1408" i="17" s="1"/>
  <c r="K1406" i="17"/>
  <c r="O1406" i="17" s="1"/>
  <c r="P1406" i="17" s="1"/>
  <c r="K1405" i="17"/>
  <c r="O1405" i="17" s="1"/>
  <c r="K1402" i="17"/>
  <c r="O1402" i="17" s="1"/>
  <c r="K1400" i="17"/>
  <c r="O1400" i="17" s="1"/>
  <c r="K1399" i="17"/>
  <c r="O1399" i="17" s="1"/>
  <c r="P1399" i="17" s="1"/>
  <c r="K1396" i="17"/>
  <c r="O1396" i="17" s="1"/>
  <c r="K1394" i="17"/>
  <c r="O1394" i="17" s="1"/>
  <c r="P1394" i="17" s="1"/>
  <c r="K1393" i="17"/>
  <c r="O1393" i="17" s="1"/>
  <c r="K1392" i="17"/>
  <c r="O1392" i="17" s="1"/>
  <c r="K1390" i="17"/>
  <c r="O1390" i="17" s="1"/>
  <c r="P1390" i="17" s="1"/>
  <c r="K1389" i="17"/>
  <c r="O1389" i="17" s="1"/>
  <c r="K1387" i="17"/>
  <c r="O1387" i="17" s="1"/>
  <c r="K1386" i="17"/>
  <c r="O1386" i="17" s="1"/>
  <c r="P1386" i="17" s="1"/>
  <c r="K1385" i="17"/>
  <c r="O1385" i="17" s="1"/>
  <c r="P1385" i="17" s="1"/>
  <c r="K1384" i="17"/>
  <c r="O1384" i="17" s="1"/>
  <c r="K1381" i="17"/>
  <c r="O1381" i="17" s="1"/>
  <c r="K1380" i="17"/>
  <c r="O1380" i="17" s="1"/>
  <c r="P1380" i="17" s="1"/>
  <c r="K1379" i="17"/>
  <c r="O1379" i="17" s="1"/>
  <c r="P1379" i="17" s="1"/>
  <c r="K1378" i="17"/>
  <c r="O1378" i="17" s="1"/>
  <c r="K1375" i="17"/>
  <c r="O1375" i="17" s="1"/>
  <c r="K1374" i="17"/>
  <c r="O1374" i="17" s="1"/>
  <c r="P1374" i="17" s="1"/>
  <c r="K1373" i="17"/>
  <c r="O1373" i="17" s="1"/>
  <c r="P1373" i="17" s="1"/>
  <c r="K1372" i="17"/>
  <c r="O1372" i="17" s="1"/>
  <c r="K1371" i="17"/>
  <c r="O1371" i="17" s="1"/>
  <c r="K1367" i="17"/>
  <c r="O1367" i="17" s="1"/>
  <c r="K1364" i="17"/>
  <c r="O1364" i="17" s="1"/>
  <c r="P1364" i="17" s="1"/>
  <c r="K1363" i="17"/>
  <c r="O1363" i="17" s="1"/>
  <c r="P1363" i="17" s="1"/>
  <c r="K1360" i="17"/>
  <c r="O1360" i="17" s="1"/>
  <c r="P1360" i="17" s="1"/>
  <c r="K1358" i="17"/>
  <c r="O1358" i="17" s="1"/>
  <c r="K1357" i="17"/>
  <c r="O1357" i="17" s="1"/>
  <c r="K1356" i="17"/>
  <c r="O1356" i="17" s="1"/>
  <c r="K1355" i="17"/>
  <c r="O1355" i="17" s="1"/>
  <c r="K1354" i="17"/>
  <c r="O1354" i="17" s="1"/>
  <c r="K1353" i="17"/>
  <c r="O1353" i="17" s="1"/>
  <c r="K1352" i="17"/>
  <c r="O1352" i="17" s="1"/>
  <c r="P1352" i="17" s="1"/>
  <c r="K1351" i="17"/>
  <c r="O1351" i="17" s="1"/>
  <c r="K1350" i="17"/>
  <c r="O1350" i="17" s="1"/>
  <c r="P1350" i="17" s="1"/>
  <c r="K1349" i="17"/>
  <c r="O1349" i="17" s="1"/>
  <c r="K1348" i="17"/>
  <c r="O1348" i="17" s="1"/>
  <c r="P1348" i="17" s="1"/>
  <c r="K1347" i="17"/>
  <c r="O1347" i="17" s="1"/>
  <c r="K1346" i="17"/>
  <c r="O1346" i="17" s="1"/>
  <c r="P1346" i="17" s="1"/>
  <c r="K1345" i="17"/>
  <c r="O1345" i="17" s="1"/>
  <c r="K1344" i="17"/>
  <c r="O1344" i="17" s="1"/>
  <c r="P1344" i="17" s="1"/>
  <c r="K1343" i="17"/>
  <c r="O1343" i="17" s="1"/>
  <c r="K1342" i="17"/>
  <c r="O1342" i="17" s="1"/>
  <c r="P1342" i="17" s="1"/>
  <c r="K1341" i="17"/>
  <c r="O1341" i="17" s="1"/>
  <c r="K1340" i="17"/>
  <c r="O1340" i="17" s="1"/>
  <c r="P1340" i="17" s="1"/>
  <c r="K1339" i="17"/>
  <c r="O1339" i="17" s="1"/>
  <c r="K1338" i="17"/>
  <c r="O1338" i="17" s="1"/>
  <c r="P1338" i="17" s="1"/>
  <c r="K1337" i="17"/>
  <c r="O1337" i="17" s="1"/>
  <c r="P1337" i="17" s="1"/>
  <c r="K1336" i="17"/>
  <c r="O1336" i="17" s="1"/>
  <c r="K1334" i="17"/>
  <c r="O1334" i="17" s="1"/>
  <c r="K1333" i="17"/>
  <c r="O1333" i="17" s="1"/>
  <c r="P1333" i="17" s="1"/>
  <c r="K1332" i="17"/>
  <c r="O1332" i="17" s="1"/>
  <c r="P1332" i="17" s="1"/>
  <c r="K1330" i="17"/>
  <c r="O1330" i="17" s="1"/>
  <c r="K1329" i="17"/>
  <c r="O1329" i="17" s="1"/>
  <c r="P1329" i="17" s="1"/>
  <c r="K1328" i="17"/>
  <c r="O1328" i="17" s="1"/>
  <c r="P1328" i="17" s="1"/>
  <c r="K1327" i="17"/>
  <c r="O1327" i="17" s="1"/>
  <c r="K1326" i="17"/>
  <c r="O1326" i="17" s="1"/>
  <c r="K1325" i="17"/>
  <c r="O1325" i="17" s="1"/>
  <c r="P1325" i="17" s="1"/>
  <c r="K1324" i="17"/>
  <c r="O1324" i="17" s="1"/>
  <c r="P1324" i="17" s="1"/>
  <c r="K1323" i="17"/>
  <c r="O1323" i="17" s="1"/>
  <c r="K1320" i="17"/>
  <c r="O1320" i="17" s="1"/>
  <c r="K1319" i="17"/>
  <c r="O1319" i="17" s="1"/>
  <c r="K1318" i="17"/>
  <c r="O1318" i="17" s="1"/>
  <c r="K1317" i="17"/>
  <c r="O1317" i="17" s="1"/>
  <c r="K1316" i="17"/>
  <c r="O1316" i="17" s="1"/>
  <c r="P1316" i="17" s="1"/>
  <c r="K1315" i="17"/>
  <c r="O1315" i="17" s="1"/>
  <c r="P1315" i="17" s="1"/>
  <c r="K1314" i="17"/>
  <c r="O1314" i="17" s="1"/>
  <c r="K1311" i="17"/>
  <c r="O1311" i="17" s="1"/>
  <c r="K1310" i="17"/>
  <c r="O1310" i="17" s="1"/>
  <c r="P1310" i="17" s="1"/>
  <c r="K1309" i="17"/>
  <c r="O1309" i="17" s="1"/>
  <c r="P1309" i="17" s="1"/>
  <c r="K1307" i="17"/>
  <c r="O1307" i="17" s="1"/>
  <c r="K1302" i="17"/>
  <c r="O1302" i="17" s="1"/>
  <c r="P1302" i="17" s="1"/>
  <c r="K1300" i="17"/>
  <c r="O1300" i="17" s="1"/>
  <c r="K1299" i="17"/>
  <c r="O1299" i="17" s="1"/>
  <c r="K1298" i="17"/>
  <c r="O1298" i="17" s="1"/>
  <c r="K1297" i="17"/>
  <c r="O1297" i="17" s="1"/>
  <c r="K1296" i="17"/>
  <c r="O1296" i="17" s="1"/>
  <c r="P1296" i="17" s="1"/>
  <c r="K1295" i="17"/>
  <c r="O1295" i="17" s="1"/>
  <c r="K1294" i="17"/>
  <c r="O1294" i="17" s="1"/>
  <c r="P1294" i="17" s="1"/>
  <c r="K1293" i="17"/>
  <c r="O1293" i="17" s="1"/>
  <c r="K1292" i="17"/>
  <c r="O1292" i="17" s="1"/>
  <c r="P1292" i="17" s="1"/>
  <c r="K1291" i="17"/>
  <c r="O1291" i="17" s="1"/>
  <c r="P1291" i="17" s="1"/>
  <c r="K1290" i="17"/>
  <c r="O1290" i="17" s="1"/>
  <c r="K1289" i="17"/>
  <c r="O1289" i="17" s="1"/>
  <c r="P1289" i="17" s="1"/>
  <c r="K1288" i="17"/>
  <c r="O1288" i="17" s="1"/>
  <c r="K1287" i="17"/>
  <c r="O1287" i="17" s="1"/>
  <c r="P1287" i="17" s="1"/>
  <c r="K1286" i="17"/>
  <c r="O1286" i="17" s="1"/>
  <c r="K1285" i="17"/>
  <c r="O1285" i="17" s="1"/>
  <c r="P1285" i="17" s="1"/>
  <c r="K1284" i="17"/>
  <c r="O1284" i="17" s="1"/>
  <c r="K1283" i="17"/>
  <c r="O1283" i="17" s="1"/>
  <c r="P1283" i="17" s="1"/>
  <c r="K1282" i="17"/>
  <c r="O1282" i="17" s="1"/>
  <c r="K1281" i="17"/>
  <c r="O1281" i="17" s="1"/>
  <c r="P1281" i="17" s="1"/>
  <c r="K1280" i="17"/>
  <c r="O1280" i="17" s="1"/>
  <c r="K1279" i="17"/>
  <c r="O1279" i="17" s="1"/>
  <c r="P1279" i="17" s="1"/>
  <c r="K1277" i="17"/>
  <c r="O1277" i="17" s="1"/>
  <c r="K1274" i="17"/>
  <c r="O1274" i="17" s="1"/>
  <c r="P1274" i="17" s="1"/>
  <c r="K1271" i="17"/>
  <c r="O1271" i="17" s="1"/>
  <c r="P1271" i="17" s="1"/>
  <c r="K1269" i="17"/>
  <c r="O1269" i="17" s="1"/>
  <c r="K1268" i="17"/>
  <c r="O1268" i="17" s="1"/>
  <c r="K1267" i="17"/>
  <c r="O1267" i="17" s="1"/>
  <c r="K1266" i="17"/>
  <c r="O1266" i="17" s="1"/>
  <c r="K1265" i="17"/>
  <c r="O1265" i="17" s="1"/>
  <c r="P1265" i="17" s="1"/>
  <c r="K1264" i="17"/>
  <c r="O1264" i="17" s="1"/>
  <c r="K1263" i="17"/>
  <c r="O1263" i="17" s="1"/>
  <c r="P1263" i="17" s="1"/>
  <c r="K1262" i="17"/>
  <c r="O1262" i="17" s="1"/>
  <c r="P1262" i="17" s="1"/>
  <c r="K1261" i="17"/>
  <c r="O1261" i="17" s="1"/>
  <c r="K1260" i="17"/>
  <c r="O1260" i="17" s="1"/>
  <c r="P1260" i="17" s="1"/>
  <c r="K1259" i="17"/>
  <c r="O1259" i="17" s="1"/>
  <c r="K1258" i="17"/>
  <c r="O1258" i="17" s="1"/>
  <c r="P1258" i="17" s="1"/>
  <c r="K1257" i="17"/>
  <c r="O1257" i="17" s="1"/>
  <c r="K1256" i="17"/>
  <c r="O1256" i="17" s="1"/>
  <c r="P1256" i="17" s="1"/>
  <c r="K1255" i="17"/>
  <c r="O1255" i="17" s="1"/>
  <c r="P1255" i="17" s="1"/>
  <c r="K1254" i="17"/>
  <c r="O1254" i="17" s="1"/>
  <c r="K1251" i="17"/>
  <c r="O1251" i="17" s="1"/>
  <c r="P1251" i="17" s="1"/>
  <c r="K1248" i="17"/>
  <c r="O1248" i="17" s="1"/>
  <c r="P1248" i="17" s="1"/>
  <c r="K1246" i="17"/>
  <c r="O1246" i="17" s="1"/>
  <c r="K1245" i="17"/>
  <c r="O1245" i="17" s="1"/>
  <c r="K1244" i="17"/>
  <c r="O1244" i="17" s="1"/>
  <c r="K1243" i="17"/>
  <c r="O1243" i="17" s="1"/>
  <c r="K1242" i="17"/>
  <c r="O1242" i="17" s="1"/>
  <c r="P1242" i="17" s="1"/>
  <c r="K1241" i="17"/>
  <c r="O1241" i="17" s="1"/>
  <c r="K1240" i="17"/>
  <c r="O1240" i="17" s="1"/>
  <c r="P1240" i="17" s="1"/>
  <c r="K1239" i="17"/>
  <c r="O1239" i="17" s="1"/>
  <c r="K1238" i="17"/>
  <c r="O1238" i="17" s="1"/>
  <c r="P1238" i="17" s="1"/>
  <c r="K1237" i="17"/>
  <c r="O1237" i="17" s="1"/>
  <c r="P1237" i="17" s="1"/>
  <c r="K1236" i="17"/>
  <c r="O1236" i="17" s="1"/>
  <c r="K1235" i="17"/>
  <c r="O1235" i="17" s="1"/>
  <c r="P1235" i="17" s="1"/>
  <c r="K1234" i="17"/>
  <c r="O1234" i="17" s="1"/>
  <c r="P1234" i="17" s="1"/>
  <c r="K1233" i="17"/>
  <c r="O1233" i="17" s="1"/>
  <c r="K1232" i="17"/>
  <c r="O1232" i="17" s="1"/>
  <c r="P1232" i="17" s="1"/>
  <c r="K1231" i="17"/>
  <c r="O1231" i="17" s="1"/>
  <c r="P1231" i="17" s="1"/>
  <c r="K1230" i="17"/>
  <c r="O1230" i="17" s="1"/>
  <c r="K1229" i="17"/>
  <c r="O1229" i="17" s="1"/>
  <c r="K1228" i="17"/>
  <c r="O1228" i="17" s="1"/>
  <c r="K1227" i="17"/>
  <c r="O1227" i="17" s="1"/>
  <c r="P1227" i="17" s="1"/>
  <c r="K1226" i="17"/>
  <c r="O1226" i="17" s="1"/>
  <c r="P1226" i="17" s="1"/>
  <c r="K1225" i="17"/>
  <c r="O1225" i="17" s="1"/>
  <c r="P1225" i="17" s="1"/>
  <c r="K1224" i="17"/>
  <c r="O1224" i="17" s="1"/>
  <c r="P1224" i="17" s="1"/>
  <c r="K1223" i="17"/>
  <c r="O1223" i="17" s="1"/>
  <c r="P1223" i="17" s="1"/>
  <c r="K1222" i="17"/>
  <c r="O1222" i="17" s="1"/>
  <c r="P1222" i="17" s="1"/>
  <c r="K1221" i="17"/>
  <c r="O1221" i="17" s="1"/>
  <c r="P1221" i="17" s="1"/>
  <c r="K1220" i="17"/>
  <c r="O1220" i="17" s="1"/>
  <c r="P1220" i="17" s="1"/>
  <c r="K1218" i="17"/>
  <c r="O1218" i="17" s="1"/>
  <c r="K1217" i="17"/>
  <c r="O1217" i="17" s="1"/>
  <c r="P1217" i="17" s="1"/>
  <c r="K1216" i="17"/>
  <c r="O1216" i="17" s="1"/>
  <c r="K1215" i="17"/>
  <c r="O1215" i="17" s="1"/>
  <c r="P1215" i="17" s="1"/>
  <c r="K1214" i="17"/>
  <c r="O1214" i="17" s="1"/>
  <c r="P1214" i="17" s="1"/>
  <c r="K1213" i="17"/>
  <c r="O1213" i="17" s="1"/>
  <c r="K1211" i="17"/>
  <c r="O1211" i="17" s="1"/>
  <c r="K1210" i="17"/>
  <c r="O1210" i="17" s="1"/>
  <c r="P1210" i="17" s="1"/>
  <c r="K1209" i="17"/>
  <c r="O1209" i="17" s="1"/>
  <c r="K1208" i="17"/>
  <c r="O1208" i="17" s="1"/>
  <c r="P1208" i="17" s="1"/>
  <c r="K1207" i="17"/>
  <c r="O1207" i="17" s="1"/>
  <c r="P1207" i="17" s="1"/>
  <c r="K1206" i="17"/>
  <c r="O1206" i="17" s="1"/>
  <c r="K1205" i="17"/>
  <c r="O1205" i="17" s="1"/>
  <c r="P1205" i="17" s="1"/>
  <c r="K1204" i="17"/>
  <c r="O1204" i="17" s="1"/>
  <c r="K1203" i="17"/>
  <c r="O1203" i="17" s="1"/>
  <c r="K1202" i="17"/>
  <c r="O1202" i="17" s="1"/>
  <c r="K1201" i="17"/>
  <c r="O1201" i="17" s="1"/>
  <c r="P1201" i="17" s="1"/>
  <c r="K1200" i="17"/>
  <c r="O1200" i="17" s="1"/>
  <c r="P1200" i="17" s="1"/>
  <c r="K1199" i="17"/>
  <c r="O1199" i="17" s="1"/>
  <c r="P1199" i="17" s="1"/>
  <c r="K1196" i="17"/>
  <c r="O1196" i="17" s="1"/>
  <c r="K1193" i="17"/>
  <c r="O1193" i="17" s="1"/>
  <c r="K1191" i="17"/>
  <c r="O1191" i="17" s="1"/>
  <c r="K1190" i="17"/>
  <c r="O1190" i="17" s="1"/>
  <c r="P1190" i="17" s="1"/>
  <c r="K1188" i="17"/>
  <c r="O1188" i="17" s="1"/>
  <c r="K1187" i="17"/>
  <c r="O1187" i="17" s="1"/>
  <c r="K1186" i="17"/>
  <c r="O1186" i="17" s="1"/>
  <c r="P1186" i="17" s="1"/>
  <c r="K1185" i="17"/>
  <c r="O1185" i="17" s="1"/>
  <c r="K1184" i="17"/>
  <c r="O1184" i="17" s="1"/>
  <c r="P1184" i="17" s="1"/>
  <c r="K1182" i="17"/>
  <c r="O1182" i="17" s="1"/>
  <c r="K1179" i="17"/>
  <c r="O1179" i="17" s="1"/>
  <c r="K1178" i="17"/>
  <c r="O1178" i="17" s="1"/>
  <c r="P1178" i="17" s="1"/>
  <c r="K1177" i="17"/>
  <c r="O1177" i="17" s="1"/>
  <c r="K1176" i="17"/>
  <c r="O1176" i="17" s="1"/>
  <c r="K1175" i="17"/>
  <c r="O1175" i="17" s="1"/>
  <c r="K1174" i="17"/>
  <c r="O1174" i="17" s="1"/>
  <c r="K1172" i="17"/>
  <c r="O1172" i="17" s="1"/>
  <c r="P1172" i="17" s="1"/>
  <c r="K1170" i="17"/>
  <c r="O1170" i="17" s="1"/>
  <c r="K1166" i="17"/>
  <c r="O1166" i="17" s="1"/>
  <c r="K1165" i="17"/>
  <c r="O1165" i="17" s="1"/>
  <c r="K1164" i="17"/>
  <c r="O1164" i="17" s="1"/>
  <c r="K1161" i="17"/>
  <c r="O1161" i="17" s="1"/>
  <c r="K1159" i="17"/>
  <c r="O1159" i="17" s="1"/>
  <c r="K1157" i="17"/>
  <c r="O1157" i="17" s="1"/>
  <c r="K1156" i="17"/>
  <c r="O1156" i="17" s="1"/>
  <c r="K1155" i="17"/>
  <c r="O1155" i="17" s="1"/>
  <c r="P1155" i="17" s="1"/>
  <c r="K1154" i="17"/>
  <c r="O1154" i="17" s="1"/>
  <c r="P1154" i="17" s="1"/>
  <c r="K1152" i="17"/>
  <c r="O1152" i="17" s="1"/>
  <c r="K1151" i="17"/>
  <c r="O1151" i="17" s="1"/>
  <c r="K1150" i="17"/>
  <c r="O1150" i="17" s="1"/>
  <c r="P1150" i="17" s="1"/>
  <c r="K1149" i="17"/>
  <c r="O1149" i="17" s="1"/>
  <c r="K1145" i="17"/>
  <c r="O1145" i="17" s="1"/>
  <c r="K1142" i="17"/>
  <c r="O1142" i="17" s="1"/>
  <c r="K1139" i="17"/>
  <c r="O1139" i="17" s="1"/>
  <c r="K1138" i="17"/>
  <c r="O1138" i="17" s="1"/>
  <c r="K1134" i="17"/>
  <c r="O1134" i="17" s="1"/>
  <c r="K1127" i="17"/>
  <c r="O1127" i="17" s="1"/>
  <c r="P1127" i="17" s="1"/>
  <c r="K1125" i="17"/>
  <c r="O1125" i="17" s="1"/>
  <c r="K1124" i="17"/>
  <c r="O1124" i="17" s="1"/>
  <c r="K1123" i="17"/>
  <c r="O1123" i="17" s="1"/>
  <c r="K1122" i="17"/>
  <c r="O1122" i="17" s="1"/>
  <c r="K1121" i="17"/>
  <c r="O1121" i="17" s="1"/>
  <c r="P1121" i="17" s="1"/>
  <c r="K1120" i="17"/>
  <c r="O1120" i="17" s="1"/>
  <c r="K1119" i="17"/>
  <c r="O1119" i="17" s="1"/>
  <c r="P1119" i="17" s="1"/>
  <c r="K1118" i="17"/>
  <c r="O1118" i="17" s="1"/>
  <c r="K1117" i="17"/>
  <c r="O1117" i="17" s="1"/>
  <c r="P1117" i="17" s="1"/>
  <c r="K1116" i="17"/>
  <c r="O1116" i="17" s="1"/>
  <c r="K1115" i="17"/>
  <c r="O1115" i="17" s="1"/>
  <c r="K1114" i="17"/>
  <c r="O1114" i="17" s="1"/>
  <c r="P1114" i="17" s="1"/>
  <c r="K1112" i="17"/>
  <c r="O1112" i="17" s="1"/>
  <c r="K1111" i="17"/>
  <c r="O1111" i="17" s="1"/>
  <c r="P1111" i="17" s="1"/>
  <c r="K1109" i="17"/>
  <c r="O1109" i="17" s="1"/>
  <c r="K1108" i="17"/>
  <c r="O1108" i="17" s="1"/>
  <c r="P1108" i="17" s="1"/>
  <c r="K1107" i="17"/>
  <c r="O1107" i="17" s="1"/>
  <c r="K1106" i="17"/>
  <c r="O1106" i="17" s="1"/>
  <c r="P1106" i="17" s="1"/>
  <c r="K1105" i="17"/>
  <c r="O1105" i="17" s="1"/>
  <c r="P1105" i="17" s="1"/>
  <c r="K1104" i="17"/>
  <c r="O1104" i="17" s="1"/>
  <c r="K1103" i="17"/>
  <c r="O1103" i="17" s="1"/>
  <c r="P1103" i="17" s="1"/>
  <c r="K1102" i="17"/>
  <c r="O1102" i="17" s="1"/>
  <c r="K1101" i="17"/>
  <c r="O1101" i="17" s="1"/>
  <c r="P1101" i="17" s="1"/>
  <c r="K1100" i="17"/>
  <c r="O1100" i="17" s="1"/>
  <c r="K1099" i="17"/>
  <c r="O1099" i="17" s="1"/>
  <c r="P1099" i="17" s="1"/>
  <c r="K1098" i="17"/>
  <c r="O1098" i="17" s="1"/>
  <c r="K1097" i="17"/>
  <c r="O1097" i="17" s="1"/>
  <c r="P1097" i="17" s="1"/>
  <c r="K1096" i="17"/>
  <c r="O1096" i="17" s="1"/>
  <c r="P1096" i="17" s="1"/>
  <c r="K1095" i="17"/>
  <c r="O1095" i="17" s="1"/>
  <c r="K1094" i="17"/>
  <c r="O1094" i="17" s="1"/>
  <c r="P1094" i="17" s="1"/>
  <c r="K1093" i="17"/>
  <c r="O1093" i="17" s="1"/>
  <c r="K1092" i="17"/>
  <c r="O1092" i="17" s="1"/>
  <c r="P1092" i="17" s="1"/>
  <c r="K1091" i="17"/>
  <c r="O1091" i="17" s="1"/>
  <c r="P1091" i="17" s="1"/>
  <c r="K1090" i="17"/>
  <c r="O1090" i="17" s="1"/>
  <c r="K1089" i="17"/>
  <c r="O1089" i="17" s="1"/>
  <c r="P1089" i="17" s="1"/>
  <c r="K1088" i="17"/>
  <c r="O1088" i="17" s="1"/>
  <c r="K1087" i="17"/>
  <c r="O1087" i="17" s="1"/>
  <c r="P1087" i="17" s="1"/>
  <c r="K1086" i="17"/>
  <c r="O1086" i="17" s="1"/>
  <c r="P1086" i="17" s="1"/>
  <c r="K1085" i="17"/>
  <c r="O1085" i="17" s="1"/>
  <c r="K1083" i="17"/>
  <c r="O1083" i="17" s="1"/>
  <c r="P1083" i="17" s="1"/>
  <c r="K1080" i="17"/>
  <c r="O1080" i="17" s="1"/>
  <c r="K1079" i="17"/>
  <c r="O1079" i="17" s="1"/>
  <c r="K1078" i="17"/>
  <c r="O1078" i="17" s="1"/>
  <c r="K1077" i="17"/>
  <c r="O1077" i="17" s="1"/>
  <c r="P1077" i="17" s="1"/>
  <c r="K1076" i="17"/>
  <c r="O1076" i="17" s="1"/>
  <c r="P1076" i="17" s="1"/>
  <c r="K1074" i="17"/>
  <c r="O1074" i="17" s="1"/>
  <c r="K1073" i="17"/>
  <c r="O1073" i="17" s="1"/>
  <c r="K1072" i="17"/>
  <c r="O1072" i="17" s="1"/>
  <c r="K1071" i="17"/>
  <c r="O1071" i="17" s="1"/>
  <c r="P1071" i="17" s="1"/>
  <c r="K1070" i="17"/>
  <c r="O1070" i="17" s="1"/>
  <c r="P1070" i="17" s="1"/>
  <c r="K1069" i="17"/>
  <c r="O1069" i="17" s="1"/>
  <c r="P1069" i="17" s="1"/>
  <c r="K1068" i="17"/>
  <c r="O1068" i="17" s="1"/>
  <c r="P1068" i="17" s="1"/>
  <c r="K1066" i="17"/>
  <c r="O1066" i="17" s="1"/>
  <c r="K1063" i="17"/>
  <c r="O1063" i="17" s="1"/>
  <c r="K1061" i="17"/>
  <c r="O1061" i="17" s="1"/>
  <c r="K1060" i="17"/>
  <c r="O1060" i="17" s="1"/>
  <c r="P1060" i="17" s="1"/>
  <c r="K1059" i="17"/>
  <c r="O1059" i="17" s="1"/>
  <c r="K1058" i="17"/>
  <c r="O1058" i="17" s="1"/>
  <c r="K1057" i="17"/>
  <c r="O1057" i="17" s="1"/>
  <c r="K1053" i="17"/>
  <c r="O1053" i="17" s="1"/>
  <c r="K1052" i="17"/>
  <c r="O1052" i="17" s="1"/>
  <c r="P1052" i="17" s="1"/>
  <c r="K1051" i="17"/>
  <c r="O1051" i="17" s="1"/>
  <c r="K1050" i="17"/>
  <c r="O1050" i="17" s="1"/>
  <c r="K1049" i="17"/>
  <c r="O1049" i="17" s="1"/>
  <c r="P1049" i="17" s="1"/>
  <c r="K1048" i="17"/>
  <c r="O1048" i="17" s="1"/>
  <c r="K1046" i="17"/>
  <c r="O1046" i="17" s="1"/>
  <c r="K1043" i="17"/>
  <c r="O1043" i="17" s="1"/>
  <c r="K1037" i="17"/>
  <c r="O1037" i="17" s="1"/>
  <c r="P1037" i="17" s="1"/>
  <c r="K1035" i="17"/>
  <c r="O1035" i="17" s="1"/>
  <c r="K1034" i="17"/>
  <c r="O1034" i="17" s="1"/>
  <c r="K1033" i="17"/>
  <c r="O1033" i="17" s="1"/>
  <c r="K1032" i="17"/>
  <c r="O1032" i="17" s="1"/>
  <c r="K1031" i="17"/>
  <c r="O1031" i="17" s="1"/>
  <c r="K1030" i="17"/>
  <c r="O1030" i="17" s="1"/>
  <c r="K1029" i="17"/>
  <c r="O1029" i="17" s="1"/>
  <c r="K1028" i="17"/>
  <c r="O1028" i="17" s="1"/>
  <c r="K1027" i="17"/>
  <c r="O1027" i="17" s="1"/>
  <c r="K1026" i="17"/>
  <c r="O1026" i="17" s="1"/>
  <c r="K1025" i="17"/>
  <c r="O1025" i="17" s="1"/>
  <c r="K1024" i="17"/>
  <c r="O1024" i="17" s="1"/>
  <c r="P1024" i="17" s="1"/>
  <c r="K1023" i="17"/>
  <c r="O1023" i="17" s="1"/>
  <c r="P1023" i="17" s="1"/>
  <c r="K1021" i="17"/>
  <c r="O1021" i="17" s="1"/>
  <c r="K1020" i="17"/>
  <c r="O1020" i="17" s="1"/>
  <c r="P1020" i="17" s="1"/>
  <c r="K1019" i="17"/>
  <c r="O1019" i="17" s="1"/>
  <c r="P1019" i="17" s="1"/>
  <c r="K1018" i="17"/>
  <c r="O1018" i="17" s="1"/>
  <c r="P1018" i="17" s="1"/>
  <c r="K1017" i="17"/>
  <c r="O1017" i="17" s="1"/>
  <c r="K1015" i="17"/>
  <c r="O1015" i="17" s="1"/>
  <c r="K1014" i="17"/>
  <c r="O1014" i="17" s="1"/>
  <c r="K1013" i="17"/>
  <c r="O1013" i="17" s="1"/>
  <c r="K1010" i="17"/>
  <c r="O1010" i="17" s="1"/>
  <c r="P1010" i="17" s="1"/>
  <c r="K1008" i="17"/>
  <c r="O1008" i="17" s="1"/>
  <c r="P1008" i="17" s="1"/>
  <c r="K1006" i="17"/>
  <c r="O1006" i="17" s="1"/>
  <c r="P1006" i="17" s="1"/>
  <c r="K1004" i="17"/>
  <c r="O1004" i="17" s="1"/>
  <c r="K1003" i="17"/>
  <c r="O1003" i="17" s="1"/>
  <c r="P1003" i="17" s="1"/>
  <c r="K1002" i="17"/>
  <c r="O1002" i="17" s="1"/>
  <c r="P1002" i="17" s="1"/>
  <c r="K1001" i="17"/>
  <c r="O1001" i="17" s="1"/>
  <c r="P1001" i="17" s="1"/>
  <c r="K1000" i="17"/>
  <c r="O1000" i="17" s="1"/>
  <c r="P1000" i="17" s="1"/>
  <c r="K999" i="17"/>
  <c r="O999" i="17" s="1"/>
  <c r="P999" i="17" s="1"/>
  <c r="K998" i="17"/>
  <c r="O998" i="17" s="1"/>
  <c r="P998" i="17" s="1"/>
  <c r="K997" i="17"/>
  <c r="O997" i="17" s="1"/>
  <c r="P997" i="17" s="1"/>
  <c r="K995" i="17"/>
  <c r="O995" i="17" s="1"/>
  <c r="K994" i="17"/>
  <c r="O994" i="17" s="1"/>
  <c r="P994" i="17" s="1"/>
  <c r="K993" i="17"/>
  <c r="O993" i="17" s="1"/>
  <c r="K992" i="17"/>
  <c r="O992" i="17" s="1"/>
  <c r="P992" i="17" s="1"/>
  <c r="K991" i="17"/>
  <c r="O991" i="17" s="1"/>
  <c r="P991" i="17" s="1"/>
  <c r="K990" i="17"/>
  <c r="O990" i="17" s="1"/>
  <c r="K988" i="17"/>
  <c r="O988" i="17" s="1"/>
  <c r="K987" i="17"/>
  <c r="O987" i="17" s="1"/>
  <c r="P987" i="17" s="1"/>
  <c r="K986" i="17"/>
  <c r="O986" i="17" s="1"/>
  <c r="K983" i="17"/>
  <c r="O983" i="17" s="1"/>
  <c r="K980" i="17"/>
  <c r="O980" i="17" s="1"/>
  <c r="K977" i="17"/>
  <c r="O977" i="17" s="1"/>
  <c r="P977" i="17" s="1"/>
  <c r="K975" i="17"/>
  <c r="O975" i="17" s="1"/>
  <c r="K974" i="17"/>
  <c r="O974" i="17" s="1"/>
  <c r="K973" i="17"/>
  <c r="O973" i="17" s="1"/>
  <c r="K972" i="17"/>
  <c r="O972" i="17" s="1"/>
  <c r="P972" i="17" s="1"/>
  <c r="K971" i="17"/>
  <c r="O971" i="17" s="1"/>
  <c r="K970" i="17"/>
  <c r="O970" i="17" s="1"/>
  <c r="K969" i="17"/>
  <c r="O969" i="17" s="1"/>
  <c r="P969" i="17" s="1"/>
  <c r="K968" i="17"/>
  <c r="O968" i="17" s="1"/>
  <c r="P968" i="17" s="1"/>
  <c r="K967" i="17"/>
  <c r="O967" i="17" s="1"/>
  <c r="K966" i="17"/>
  <c r="O966" i="17" s="1"/>
  <c r="P966" i="17" s="1"/>
  <c r="K965" i="17"/>
  <c r="O965" i="17" s="1"/>
  <c r="K964" i="17"/>
  <c r="O964" i="17" s="1"/>
  <c r="P964" i="17" s="1"/>
  <c r="K963" i="17"/>
  <c r="O963" i="17" s="1"/>
  <c r="K962" i="17"/>
  <c r="O962" i="17" s="1"/>
  <c r="P962" i="17" s="1"/>
  <c r="K961" i="17"/>
  <c r="O961" i="17" s="1"/>
  <c r="K960" i="17"/>
  <c r="O960" i="17" s="1"/>
  <c r="P960" i="17" s="1"/>
  <c r="K959" i="17"/>
  <c r="O959" i="17" s="1"/>
  <c r="K958" i="17"/>
  <c r="O958" i="17" s="1"/>
  <c r="P958" i="17" s="1"/>
  <c r="K957" i="17"/>
  <c r="O957" i="17" s="1"/>
  <c r="K956" i="17"/>
  <c r="O956" i="17" s="1"/>
  <c r="P956" i="17" s="1"/>
  <c r="K955" i="17"/>
  <c r="O955" i="17" s="1"/>
  <c r="K954" i="17"/>
  <c r="O954" i="17" s="1"/>
  <c r="P954" i="17" s="1"/>
  <c r="K953" i="17"/>
  <c r="O953" i="17" s="1"/>
  <c r="K952" i="17"/>
  <c r="O952" i="17" s="1"/>
  <c r="P952" i="17" s="1"/>
  <c r="K951" i="17"/>
  <c r="O951" i="17" s="1"/>
  <c r="K950" i="17"/>
  <c r="O950" i="17" s="1"/>
  <c r="P950" i="17" s="1"/>
  <c r="K949" i="17"/>
  <c r="O949" i="17" s="1"/>
  <c r="K948" i="17"/>
  <c r="O948" i="17" s="1"/>
  <c r="P948" i="17" s="1"/>
  <c r="K947" i="17"/>
  <c r="O947" i="17" s="1"/>
  <c r="K946" i="17"/>
  <c r="O946" i="17" s="1"/>
  <c r="P946" i="17" s="1"/>
  <c r="K945" i="17"/>
  <c r="O945" i="17" s="1"/>
  <c r="K944" i="17"/>
  <c r="O944" i="17" s="1"/>
  <c r="K943" i="17"/>
  <c r="O943" i="17" s="1"/>
  <c r="K942" i="17"/>
  <c r="O942" i="17" s="1"/>
  <c r="K941" i="17"/>
  <c r="O941" i="17" s="1"/>
  <c r="P941" i="17" s="1"/>
  <c r="K940" i="17"/>
  <c r="O940" i="17" s="1"/>
  <c r="P940" i="17" s="1"/>
  <c r="K939" i="17"/>
  <c r="O939" i="17" s="1"/>
  <c r="K938" i="17"/>
  <c r="O938" i="17" s="1"/>
  <c r="P938" i="17" s="1"/>
  <c r="K937" i="17"/>
  <c r="O937" i="17" s="1"/>
  <c r="P937" i="17" s="1"/>
  <c r="K936" i="17"/>
  <c r="O936" i="17" s="1"/>
  <c r="P936" i="17" s="1"/>
  <c r="K934" i="17"/>
  <c r="O934" i="17" s="1"/>
  <c r="K933" i="17"/>
  <c r="O933" i="17" s="1"/>
  <c r="K932" i="17"/>
  <c r="O932" i="17" s="1"/>
  <c r="K931" i="17"/>
  <c r="O931" i="17" s="1"/>
  <c r="K930" i="17"/>
  <c r="O930" i="17" s="1"/>
  <c r="P930" i="17" s="1"/>
  <c r="K929" i="17"/>
  <c r="O929" i="17" s="1"/>
  <c r="K928" i="17"/>
  <c r="O928" i="17" s="1"/>
  <c r="P928" i="17" s="1"/>
  <c r="K927" i="17"/>
  <c r="O927" i="17" s="1"/>
  <c r="P927" i="17" s="1"/>
  <c r="K926" i="17"/>
  <c r="O926" i="17" s="1"/>
  <c r="K924" i="17"/>
  <c r="O924" i="17" s="1"/>
  <c r="K923" i="17"/>
  <c r="O923" i="17" s="1"/>
  <c r="P923" i="17" s="1"/>
  <c r="K922" i="17"/>
  <c r="O922" i="17" s="1"/>
  <c r="K921" i="17"/>
  <c r="O921" i="17" s="1"/>
  <c r="P921" i="17" s="1"/>
  <c r="K920" i="17"/>
  <c r="O920" i="17" s="1"/>
  <c r="K919" i="17"/>
  <c r="O919" i="17" s="1"/>
  <c r="P919" i="17" s="1"/>
  <c r="K918" i="17"/>
  <c r="O918" i="17" s="1"/>
  <c r="K917" i="17"/>
  <c r="O917" i="17" s="1"/>
  <c r="P917" i="17" s="1"/>
  <c r="K916" i="17"/>
  <c r="O916" i="17" s="1"/>
  <c r="P916" i="17" s="1"/>
  <c r="K915" i="17"/>
  <c r="O915" i="17" s="1"/>
  <c r="K914" i="17"/>
  <c r="O914" i="17" s="1"/>
  <c r="P914" i="17" s="1"/>
  <c r="K913" i="17"/>
  <c r="O913" i="17" s="1"/>
  <c r="K912" i="17"/>
  <c r="O912" i="17" s="1"/>
  <c r="P912" i="17" s="1"/>
  <c r="K911" i="17"/>
  <c r="O911" i="17" s="1"/>
  <c r="K910" i="17"/>
  <c r="O910" i="17" s="1"/>
  <c r="P910" i="17" s="1"/>
  <c r="K909" i="17"/>
  <c r="O909" i="17" s="1"/>
  <c r="K908" i="17"/>
  <c r="O908" i="17" s="1"/>
  <c r="P908" i="17" s="1"/>
  <c r="K907" i="17"/>
  <c r="O907" i="17" s="1"/>
  <c r="K906" i="17"/>
  <c r="O906" i="17" s="1"/>
  <c r="P906" i="17" s="1"/>
  <c r="K905" i="17"/>
  <c r="O905" i="17" s="1"/>
  <c r="K904" i="17"/>
  <c r="O904" i="17" s="1"/>
  <c r="K903" i="17"/>
  <c r="O903" i="17" s="1"/>
  <c r="K902" i="17"/>
  <c r="O902" i="17" s="1"/>
  <c r="K901" i="17"/>
  <c r="O901" i="17" s="1"/>
  <c r="K900" i="17"/>
  <c r="O900" i="17" s="1"/>
  <c r="P900" i="17" s="1"/>
  <c r="K899" i="17"/>
  <c r="O899" i="17" s="1"/>
  <c r="K898" i="17"/>
  <c r="O898" i="17" s="1"/>
  <c r="P898" i="17" s="1"/>
  <c r="K897" i="17"/>
  <c r="O897" i="17" s="1"/>
  <c r="K896" i="17"/>
  <c r="O896" i="17" s="1"/>
  <c r="P896" i="17" s="1"/>
  <c r="K895" i="17"/>
  <c r="O895" i="17" s="1"/>
  <c r="K894" i="17"/>
  <c r="O894" i="17" s="1"/>
  <c r="P894" i="17" s="1"/>
  <c r="K893" i="17"/>
  <c r="O893" i="17" s="1"/>
  <c r="K892" i="17"/>
  <c r="O892" i="17" s="1"/>
  <c r="P892" i="17" s="1"/>
  <c r="K891" i="17"/>
  <c r="O891" i="17" s="1"/>
  <c r="P891" i="17" s="1"/>
  <c r="K890" i="17"/>
  <c r="O890" i="17" s="1"/>
  <c r="K889" i="17"/>
  <c r="O889" i="17" s="1"/>
  <c r="P889" i="17" s="1"/>
  <c r="K888" i="17"/>
  <c r="O888" i="17" s="1"/>
  <c r="K887" i="17"/>
  <c r="O887" i="17" s="1"/>
  <c r="P887" i="17" s="1"/>
  <c r="K886" i="17"/>
  <c r="O886" i="17" s="1"/>
  <c r="K885" i="17"/>
  <c r="O885" i="17" s="1"/>
  <c r="P885" i="17" s="1"/>
  <c r="K884" i="17"/>
  <c r="O884" i="17" s="1"/>
  <c r="K883" i="17"/>
  <c r="O883" i="17" s="1"/>
  <c r="P883" i="17" s="1"/>
  <c r="K882" i="17"/>
  <c r="O882" i="17" s="1"/>
  <c r="K881" i="17"/>
  <c r="O881" i="17" s="1"/>
  <c r="K880" i="17"/>
  <c r="O880" i="17" s="1"/>
  <c r="K879" i="17"/>
  <c r="O879" i="17" s="1"/>
  <c r="K878" i="17"/>
  <c r="O878" i="17" s="1"/>
  <c r="P878" i="17" s="1"/>
  <c r="K877" i="17"/>
  <c r="O877" i="17" s="1"/>
  <c r="K876" i="17"/>
  <c r="O876" i="17" s="1"/>
  <c r="P876" i="17" s="1"/>
  <c r="K875" i="17"/>
  <c r="O875" i="17" s="1"/>
  <c r="P875" i="17" s="1"/>
  <c r="K874" i="17"/>
  <c r="O874" i="17" s="1"/>
  <c r="K873" i="17"/>
  <c r="O873" i="17" s="1"/>
  <c r="K872" i="17"/>
  <c r="O872" i="17" s="1"/>
  <c r="K871" i="17"/>
  <c r="O871" i="17" s="1"/>
  <c r="P871" i="17" s="1"/>
  <c r="K870" i="17"/>
  <c r="O870" i="17" s="1"/>
  <c r="P870" i="17" s="1"/>
  <c r="K868" i="17"/>
  <c r="O868" i="17" s="1"/>
  <c r="K867" i="17"/>
  <c r="O867" i="17" s="1"/>
  <c r="P867" i="17" s="1"/>
  <c r="K866" i="17"/>
  <c r="O866" i="17" s="1"/>
  <c r="P866" i="17" s="1"/>
  <c r="K865" i="17"/>
  <c r="O865" i="17" s="1"/>
  <c r="P865" i="17" s="1"/>
  <c r="K863" i="17"/>
  <c r="O863" i="17" s="1"/>
  <c r="K862" i="17"/>
  <c r="O862" i="17" s="1"/>
  <c r="P862" i="17" s="1"/>
  <c r="K861" i="17"/>
  <c r="O861" i="17" s="1"/>
  <c r="P861" i="17" s="1"/>
  <c r="K860" i="17"/>
  <c r="O860" i="17" s="1"/>
  <c r="P860" i="17" s="1"/>
  <c r="K857" i="17"/>
  <c r="O857" i="17" s="1"/>
  <c r="K856" i="17"/>
  <c r="O856" i="17" s="1"/>
  <c r="P856" i="17" s="1"/>
  <c r="K855" i="17"/>
  <c r="O855" i="17" s="1"/>
  <c r="P855" i="17" s="1"/>
  <c r="K853" i="17"/>
  <c r="O853" i="17" s="1"/>
  <c r="P853" i="17" s="1"/>
  <c r="K851" i="17"/>
  <c r="O851" i="17" s="1"/>
  <c r="K849" i="17"/>
  <c r="O849" i="17" s="1"/>
  <c r="K848" i="17"/>
  <c r="O848" i="17" s="1"/>
  <c r="P848" i="17" s="1"/>
  <c r="K847" i="17"/>
  <c r="O847" i="17" s="1"/>
  <c r="P847" i="17" s="1"/>
  <c r="K846" i="17"/>
  <c r="O846" i="17" s="1"/>
  <c r="K845" i="17"/>
  <c r="O845" i="17" s="1"/>
  <c r="P845" i="17" s="1"/>
  <c r="K844" i="17"/>
  <c r="O844" i="17" s="1"/>
  <c r="K843" i="17"/>
  <c r="O843" i="17" s="1"/>
  <c r="P843" i="17" s="1"/>
  <c r="K842" i="17"/>
  <c r="O842" i="17" s="1"/>
  <c r="K841" i="17"/>
  <c r="O841" i="17" s="1"/>
  <c r="P841" i="17" s="1"/>
  <c r="K840" i="17"/>
  <c r="O840" i="17" s="1"/>
  <c r="K839" i="17"/>
  <c r="O839" i="17" s="1"/>
  <c r="P839" i="17" s="1"/>
  <c r="K838" i="17"/>
  <c r="O838" i="17" s="1"/>
  <c r="K837" i="17"/>
  <c r="O837" i="17" s="1"/>
  <c r="P837" i="17" s="1"/>
  <c r="K836" i="17"/>
  <c r="O836" i="17" s="1"/>
  <c r="P836" i="17" s="1"/>
  <c r="K835" i="17"/>
  <c r="O835" i="17" s="1"/>
  <c r="K834" i="17"/>
  <c r="O834" i="17" s="1"/>
  <c r="P834" i="17" s="1"/>
  <c r="K833" i="17"/>
  <c r="O833" i="17" s="1"/>
  <c r="P833" i="17" s="1"/>
  <c r="K832" i="17"/>
  <c r="O832" i="17" s="1"/>
  <c r="K830" i="17"/>
  <c r="O830" i="17" s="1"/>
  <c r="K828" i="17"/>
  <c r="O828" i="17" s="1"/>
  <c r="K827" i="17"/>
  <c r="O827" i="17" s="1"/>
  <c r="P827" i="17" s="1"/>
  <c r="K826" i="17"/>
  <c r="O826" i="17" s="1"/>
  <c r="K825" i="17"/>
  <c r="O825" i="17" s="1"/>
  <c r="K824" i="17"/>
  <c r="O824" i="17" s="1"/>
  <c r="P824" i="17" s="1"/>
  <c r="K823" i="17"/>
  <c r="O823" i="17" s="1"/>
  <c r="P823" i="17" s="1"/>
  <c r="K822" i="17"/>
  <c r="O822" i="17" s="1"/>
  <c r="K821" i="17"/>
  <c r="O821" i="17" s="1"/>
  <c r="K820" i="17"/>
  <c r="O820" i="17" s="1"/>
  <c r="P820" i="17" s="1"/>
  <c r="K819" i="17"/>
  <c r="O819" i="17" s="1"/>
  <c r="K818" i="17"/>
  <c r="O818" i="17" s="1"/>
  <c r="K817" i="17"/>
  <c r="O817" i="17" s="1"/>
  <c r="P817" i="17" s="1"/>
  <c r="K816" i="17"/>
  <c r="O816" i="17" s="1"/>
  <c r="K815" i="17"/>
  <c r="O815" i="17" s="1"/>
  <c r="K814" i="17"/>
  <c r="O814" i="17" s="1"/>
  <c r="P814" i="17" s="1"/>
  <c r="K813" i="17"/>
  <c r="O813" i="17" s="1"/>
  <c r="P813" i="17" s="1"/>
  <c r="K811" i="17"/>
  <c r="O811" i="17" s="1"/>
  <c r="K810" i="17"/>
  <c r="O810" i="17" s="1"/>
  <c r="K809" i="17"/>
  <c r="O809" i="17" s="1"/>
  <c r="P809" i="17" s="1"/>
  <c r="K808" i="17"/>
  <c r="O808" i="17" s="1"/>
  <c r="K807" i="17"/>
  <c r="O807" i="17" s="1"/>
  <c r="K806" i="17"/>
  <c r="O806" i="17" s="1"/>
  <c r="P806" i="17" s="1"/>
  <c r="K805" i="17"/>
  <c r="O805" i="17" s="1"/>
  <c r="K804" i="17"/>
  <c r="O804" i="17" s="1"/>
  <c r="K803" i="17"/>
  <c r="O803" i="17" s="1"/>
  <c r="P803" i="17" s="1"/>
  <c r="K802" i="17"/>
  <c r="O802" i="17" s="1"/>
  <c r="K801" i="17"/>
  <c r="O801" i="17" s="1"/>
  <c r="K800" i="17"/>
  <c r="O800" i="17" s="1"/>
  <c r="P800" i="17" s="1"/>
  <c r="K799" i="17"/>
  <c r="O799" i="17" s="1"/>
  <c r="K796" i="17"/>
  <c r="O796" i="17" s="1"/>
  <c r="K795" i="17"/>
  <c r="O795" i="17" s="1"/>
  <c r="P795" i="17" s="1"/>
  <c r="K794" i="17"/>
  <c r="O794" i="17" s="1"/>
  <c r="P794" i="17" s="1"/>
  <c r="K793" i="17"/>
  <c r="O793" i="17" s="1"/>
  <c r="K792" i="17"/>
  <c r="O792" i="17" s="1"/>
  <c r="K791" i="17"/>
  <c r="O791" i="17" s="1"/>
  <c r="P791" i="17" s="1"/>
  <c r="K790" i="17"/>
  <c r="O790" i="17" s="1"/>
  <c r="P790" i="17" s="1"/>
  <c r="K789" i="17"/>
  <c r="O789" i="17" s="1"/>
  <c r="K788" i="17"/>
  <c r="O788" i="17" s="1"/>
  <c r="K787" i="17"/>
  <c r="O787" i="17" s="1"/>
  <c r="P787" i="17" s="1"/>
  <c r="K786" i="17"/>
  <c r="O786" i="17" s="1"/>
  <c r="P786" i="17" s="1"/>
  <c r="K785" i="17"/>
  <c r="O785" i="17" s="1"/>
  <c r="K784" i="17"/>
  <c r="O784" i="17" s="1"/>
  <c r="K783" i="17"/>
  <c r="O783" i="17" s="1"/>
  <c r="K782" i="17"/>
  <c r="O782" i="17" s="1"/>
  <c r="K781" i="17"/>
  <c r="O781" i="17" s="1"/>
  <c r="K780" i="17"/>
  <c r="O780" i="17" s="1"/>
  <c r="K779" i="17"/>
  <c r="O779" i="17" s="1"/>
  <c r="P779" i="17" s="1"/>
  <c r="K778" i="17"/>
  <c r="O778" i="17" s="1"/>
  <c r="P778" i="17" s="1"/>
  <c r="K777" i="17"/>
  <c r="O777" i="17" s="1"/>
  <c r="K776" i="17"/>
  <c r="O776" i="17" s="1"/>
  <c r="K775" i="17"/>
  <c r="O775" i="17" s="1"/>
  <c r="P775" i="17" s="1"/>
  <c r="K774" i="17"/>
  <c r="O774" i="17" s="1"/>
  <c r="K773" i="17"/>
  <c r="O773" i="17" s="1"/>
  <c r="K772" i="17"/>
  <c r="O772" i="17" s="1"/>
  <c r="P772" i="17" s="1"/>
  <c r="K771" i="17"/>
  <c r="O771" i="17" s="1"/>
  <c r="P771" i="17" s="1"/>
  <c r="K770" i="17"/>
  <c r="O770" i="17" s="1"/>
  <c r="K769" i="17"/>
  <c r="O769" i="17" s="1"/>
  <c r="K768" i="17"/>
  <c r="O768" i="17" s="1"/>
  <c r="P768" i="17" s="1"/>
  <c r="K767" i="17"/>
  <c r="O767" i="17" s="1"/>
  <c r="P767" i="17" s="1"/>
  <c r="K766" i="17"/>
  <c r="O766" i="17" s="1"/>
  <c r="K765" i="17"/>
  <c r="O765" i="17" s="1"/>
  <c r="K764" i="17"/>
  <c r="O764" i="17" s="1"/>
  <c r="P764" i="17" s="1"/>
  <c r="K763" i="17"/>
  <c r="O763" i="17" s="1"/>
  <c r="P763" i="17" s="1"/>
  <c r="K762" i="17"/>
  <c r="O762" i="17" s="1"/>
  <c r="P762" i="17" s="1"/>
  <c r="K761" i="17"/>
  <c r="O761" i="17" s="1"/>
  <c r="P761" i="17" s="1"/>
  <c r="K758" i="17"/>
  <c r="O758" i="17" s="1"/>
  <c r="K757" i="17"/>
  <c r="O757" i="17" s="1"/>
  <c r="K756" i="17"/>
  <c r="O756" i="17" s="1"/>
  <c r="P756" i="17" s="1"/>
  <c r="K754" i="17"/>
  <c r="O754" i="17" s="1"/>
  <c r="K753" i="17"/>
  <c r="O753" i="17" s="1"/>
  <c r="K752" i="17"/>
  <c r="O752" i="17" s="1"/>
  <c r="P752" i="17" s="1"/>
  <c r="K751" i="17"/>
  <c r="O751" i="17" s="1"/>
  <c r="P751" i="17" s="1"/>
  <c r="K750" i="17"/>
  <c r="O750" i="17" s="1"/>
  <c r="K749" i="17"/>
  <c r="O749" i="17" s="1"/>
  <c r="K748" i="17"/>
  <c r="O748" i="17" s="1"/>
  <c r="P748" i="17" s="1"/>
  <c r="K747" i="17"/>
  <c r="O747" i="17" s="1"/>
  <c r="P747" i="17" s="1"/>
  <c r="K746" i="17"/>
  <c r="O746" i="17" s="1"/>
  <c r="K745" i="17"/>
  <c r="O745" i="17" s="1"/>
  <c r="K744" i="17"/>
  <c r="O744" i="17" s="1"/>
  <c r="P744" i="17" s="1"/>
  <c r="K742" i="17"/>
  <c r="O742" i="17" s="1"/>
  <c r="P742" i="17" s="1"/>
  <c r="K741" i="17"/>
  <c r="O741" i="17" s="1"/>
  <c r="P741" i="17" s="1"/>
  <c r="K740" i="17"/>
  <c r="O740" i="17" s="1"/>
  <c r="P740" i="17" s="1"/>
  <c r="K739" i="17"/>
  <c r="O739" i="17" s="1"/>
  <c r="P739" i="17" s="1"/>
  <c r="K738" i="17"/>
  <c r="O738" i="17" s="1"/>
  <c r="P738" i="17" s="1"/>
  <c r="K737" i="17"/>
  <c r="O737" i="17" s="1"/>
  <c r="P737" i="17" s="1"/>
  <c r="K735" i="17"/>
  <c r="O735" i="17" s="1"/>
  <c r="K734" i="17"/>
  <c r="O734" i="17" s="1"/>
  <c r="K733" i="17"/>
  <c r="O733" i="17" s="1"/>
  <c r="P733" i="17" s="1"/>
  <c r="K732" i="17"/>
  <c r="O732" i="17" s="1"/>
  <c r="P732" i="17" s="1"/>
  <c r="K731" i="17"/>
  <c r="O731" i="17" s="1"/>
  <c r="K728" i="17"/>
  <c r="O728" i="17" s="1"/>
  <c r="K727" i="17"/>
  <c r="O727" i="17" s="1"/>
  <c r="P727" i="17" s="1"/>
  <c r="K726" i="17"/>
  <c r="O726" i="17" s="1"/>
  <c r="K725" i="17"/>
  <c r="O725" i="17" s="1"/>
  <c r="K724" i="17"/>
  <c r="O724" i="17" s="1"/>
  <c r="P724" i="17" s="1"/>
  <c r="K723" i="17"/>
  <c r="O723" i="17" s="1"/>
  <c r="K722" i="17"/>
  <c r="O722" i="17" s="1"/>
  <c r="K721" i="17"/>
  <c r="O721" i="17" s="1"/>
  <c r="P721" i="17" s="1"/>
  <c r="K720" i="17"/>
  <c r="O720" i="17" s="1"/>
  <c r="K719" i="17"/>
  <c r="O719" i="17" s="1"/>
  <c r="K718" i="17"/>
  <c r="O718" i="17" s="1"/>
  <c r="P718" i="17" s="1"/>
  <c r="K717" i="17"/>
  <c r="O717" i="17" s="1"/>
  <c r="K716" i="17"/>
  <c r="O716" i="17" s="1"/>
  <c r="K715" i="17"/>
  <c r="O715" i="17" s="1"/>
  <c r="P715" i="17" s="1"/>
  <c r="K714" i="17"/>
  <c r="O714" i="17" s="1"/>
  <c r="P714" i="17" s="1"/>
  <c r="K713" i="17"/>
  <c r="O713" i="17" s="1"/>
  <c r="K712" i="17"/>
  <c r="O712" i="17" s="1"/>
  <c r="K711" i="17"/>
  <c r="O711" i="17" s="1"/>
  <c r="K710" i="17"/>
  <c r="O710" i="17" s="1"/>
  <c r="K709" i="17"/>
  <c r="O709" i="17" s="1"/>
  <c r="P709" i="17" s="1"/>
  <c r="K708" i="17"/>
  <c r="O708" i="17" s="1"/>
  <c r="P708" i="17" s="1"/>
  <c r="K705" i="17"/>
  <c r="O705" i="17" s="1"/>
  <c r="K702" i="17"/>
  <c r="O702" i="17" s="1"/>
  <c r="K701" i="17"/>
  <c r="O701" i="17" s="1"/>
  <c r="P701" i="17" s="1"/>
  <c r="K700" i="17"/>
  <c r="O700" i="17" s="1"/>
  <c r="P700" i="17" s="1"/>
  <c r="K699" i="17"/>
  <c r="O699" i="17" s="1"/>
  <c r="K698" i="17"/>
  <c r="O698" i="17" s="1"/>
  <c r="K697" i="17"/>
  <c r="O697" i="17" s="1"/>
  <c r="P697" i="17" s="1"/>
  <c r="K696" i="17"/>
  <c r="O696" i="17" s="1"/>
  <c r="P696" i="17" s="1"/>
  <c r="K695" i="17"/>
  <c r="O695" i="17" s="1"/>
  <c r="K694" i="17"/>
  <c r="O694" i="17" s="1"/>
  <c r="K693" i="17"/>
  <c r="O693" i="17" s="1"/>
  <c r="P693" i="17" s="1"/>
  <c r="K692" i="17"/>
  <c r="O692" i="17" s="1"/>
  <c r="K691" i="17"/>
  <c r="O691" i="17" s="1"/>
  <c r="K690" i="17"/>
  <c r="O690" i="17" s="1"/>
  <c r="P690" i="17" s="1"/>
  <c r="K689" i="17"/>
  <c r="O689" i="17" s="1"/>
  <c r="P689" i="17" s="1"/>
  <c r="K688" i="17"/>
  <c r="O688" i="17" s="1"/>
  <c r="P688" i="17" s="1"/>
  <c r="K687" i="17"/>
  <c r="O687" i="17" s="1"/>
  <c r="P687" i="17" s="1"/>
  <c r="K686" i="17"/>
  <c r="O686" i="17" s="1"/>
  <c r="P686" i="17" s="1"/>
  <c r="K685" i="17"/>
  <c r="O685" i="17" s="1"/>
  <c r="P685" i="17" s="1"/>
  <c r="K684" i="17"/>
  <c r="O684" i="17" s="1"/>
  <c r="P684" i="17" s="1"/>
  <c r="K681" i="17"/>
  <c r="O681" i="17" s="1"/>
  <c r="K680" i="17"/>
  <c r="O680" i="17" s="1"/>
  <c r="K679" i="17"/>
  <c r="O679" i="17" s="1"/>
  <c r="P679" i="17" s="1"/>
  <c r="K678" i="17"/>
  <c r="O678" i="17" s="1"/>
  <c r="K677" i="17"/>
  <c r="O677" i="17" s="1"/>
  <c r="K676" i="17"/>
  <c r="O676" i="17" s="1"/>
  <c r="P676" i="17" s="1"/>
  <c r="K675" i="17"/>
  <c r="O675" i="17" s="1"/>
  <c r="K674" i="17"/>
  <c r="O674" i="17" s="1"/>
  <c r="K673" i="17"/>
  <c r="O673" i="17" s="1"/>
  <c r="P673" i="17" s="1"/>
  <c r="K672" i="17"/>
  <c r="O672" i="17" s="1"/>
  <c r="K671" i="17"/>
  <c r="O671" i="17" s="1"/>
  <c r="K670" i="17"/>
  <c r="O670" i="17" s="1"/>
  <c r="P670" i="17" s="1"/>
  <c r="K669" i="17"/>
  <c r="O669" i="17" s="1"/>
  <c r="K665" i="17"/>
  <c r="O665" i="17" s="1"/>
  <c r="K657" i="17"/>
  <c r="O657" i="17" s="1"/>
  <c r="P657" i="17" s="1"/>
  <c r="K655" i="17"/>
  <c r="O655" i="17" s="1"/>
  <c r="K654" i="17"/>
  <c r="O654" i="17" s="1"/>
  <c r="K653" i="17"/>
  <c r="O653" i="17" s="1"/>
  <c r="K652" i="17"/>
  <c r="O652" i="17" s="1"/>
  <c r="K651" i="17"/>
  <c r="O651" i="17" s="1"/>
  <c r="P651" i="17" s="1"/>
  <c r="K650" i="17"/>
  <c r="O650" i="17" s="1"/>
  <c r="K649" i="17"/>
  <c r="O649" i="17" s="1"/>
  <c r="P649" i="17" s="1"/>
  <c r="K648" i="17"/>
  <c r="O648" i="17" s="1"/>
  <c r="K647" i="17"/>
  <c r="O647" i="17" s="1"/>
  <c r="P647" i="17" s="1"/>
  <c r="K646" i="17"/>
  <c r="O646" i="17" s="1"/>
  <c r="K644" i="17"/>
  <c r="O644" i="17" s="1"/>
  <c r="K643" i="17"/>
  <c r="O643" i="17" s="1"/>
  <c r="P643" i="17" s="1"/>
  <c r="K642" i="17"/>
  <c r="O642" i="17" s="1"/>
  <c r="P642" i="17" s="1"/>
  <c r="K641" i="17"/>
  <c r="O641" i="17" s="1"/>
  <c r="K640" i="17"/>
  <c r="O640" i="17" s="1"/>
  <c r="K639" i="17"/>
  <c r="O639" i="17" s="1"/>
  <c r="K638" i="17"/>
  <c r="O638" i="17" s="1"/>
  <c r="P638" i="17" s="1"/>
  <c r="K637" i="17"/>
  <c r="O637" i="17" s="1"/>
  <c r="P637" i="17" s="1"/>
  <c r="K636" i="17"/>
  <c r="O636" i="17" s="1"/>
  <c r="P636" i="17" s="1"/>
  <c r="K635" i="17"/>
  <c r="O635" i="17" s="1"/>
  <c r="P635" i="17" s="1"/>
  <c r="K633" i="17"/>
  <c r="O633" i="17" s="1"/>
  <c r="P633" i="17" s="1"/>
  <c r="K632" i="17"/>
  <c r="O632" i="17" s="1"/>
  <c r="P632" i="17" s="1"/>
  <c r="K631" i="17"/>
  <c r="O631" i="17" s="1"/>
  <c r="P631" i="17" s="1"/>
  <c r="K630" i="17"/>
  <c r="O630" i="17" s="1"/>
  <c r="P630" i="17" s="1"/>
  <c r="K629" i="17"/>
  <c r="O629" i="17" s="1"/>
  <c r="P629" i="17" s="1"/>
  <c r="K627" i="17"/>
  <c r="O627" i="17" s="1"/>
  <c r="P627" i="17" s="1"/>
  <c r="K625" i="17"/>
  <c r="O625" i="17" s="1"/>
  <c r="P625" i="17" s="1"/>
  <c r="K623" i="17"/>
  <c r="O623" i="17" s="1"/>
  <c r="P623" i="17" s="1"/>
  <c r="K622" i="17"/>
  <c r="O622" i="17" s="1"/>
  <c r="P622" i="17" s="1"/>
  <c r="K621" i="17"/>
  <c r="O621" i="17" s="1"/>
  <c r="P621" i="17" s="1"/>
  <c r="K620" i="17"/>
  <c r="O620" i="17" s="1"/>
  <c r="P620" i="17" s="1"/>
  <c r="K619" i="17"/>
  <c r="O619" i="17" s="1"/>
  <c r="P619" i="17" s="1"/>
  <c r="K616" i="17"/>
  <c r="O616" i="17" s="1"/>
  <c r="K615" i="17"/>
  <c r="O615" i="17" s="1"/>
  <c r="K614" i="17"/>
  <c r="O614" i="17" s="1"/>
  <c r="K613" i="17"/>
  <c r="O613" i="17" s="1"/>
  <c r="K612" i="17"/>
  <c r="O612" i="17" s="1"/>
  <c r="K611" i="17"/>
  <c r="O611" i="17" s="1"/>
  <c r="P611" i="17" s="1"/>
  <c r="K610" i="17"/>
  <c r="O610" i="17" s="1"/>
  <c r="K609" i="17"/>
  <c r="O609" i="17" s="1"/>
  <c r="K608" i="17"/>
  <c r="O608" i="17" s="1"/>
  <c r="P608" i="17" s="1"/>
  <c r="K607" i="17"/>
  <c r="O607" i="17" s="1"/>
  <c r="P607" i="17" s="1"/>
  <c r="K606" i="17"/>
  <c r="O606" i="17" s="1"/>
  <c r="P606" i="17" s="1"/>
  <c r="K604" i="17"/>
  <c r="O604" i="17" s="1"/>
  <c r="K603" i="17"/>
  <c r="O603" i="17" s="1"/>
  <c r="P603" i="17" s="1"/>
  <c r="K602" i="17"/>
  <c r="O602" i="17" s="1"/>
  <c r="P602" i="17" s="1"/>
  <c r="K601" i="17"/>
  <c r="O601" i="17" s="1"/>
  <c r="P601" i="17" s="1"/>
  <c r="K600" i="17"/>
  <c r="O600" i="17" s="1"/>
  <c r="P600" i="17" s="1"/>
  <c r="K599" i="17"/>
  <c r="O599" i="17" s="1"/>
  <c r="K596" i="17"/>
  <c r="O596" i="17" s="1"/>
  <c r="K595" i="17"/>
  <c r="O595" i="17" s="1"/>
  <c r="K594" i="17"/>
  <c r="O594" i="17" s="1"/>
  <c r="P594" i="17" s="1"/>
  <c r="K593" i="17"/>
  <c r="O593" i="17" s="1"/>
  <c r="P593" i="17" s="1"/>
  <c r="K592" i="17"/>
  <c r="O592" i="17" s="1"/>
  <c r="K591" i="17"/>
  <c r="O591" i="17" s="1"/>
  <c r="P591" i="17" s="1"/>
  <c r="K590" i="17"/>
  <c r="O590" i="17" s="1"/>
  <c r="P590" i="17" s="1"/>
  <c r="K589" i="17"/>
  <c r="O589" i="17" s="1"/>
  <c r="P589" i="17" s="1"/>
  <c r="K588" i="17"/>
  <c r="O588" i="17" s="1"/>
  <c r="P588" i="17" s="1"/>
  <c r="K587" i="17"/>
  <c r="O587" i="17" s="1"/>
  <c r="P587" i="17" s="1"/>
  <c r="K586" i="17"/>
  <c r="O586" i="17" s="1"/>
  <c r="P586" i="17" s="1"/>
  <c r="K585" i="17"/>
  <c r="O585" i="17" s="1"/>
  <c r="P585" i="17" s="1"/>
  <c r="K584" i="17"/>
  <c r="O584" i="17" s="1"/>
  <c r="P584" i="17" s="1"/>
  <c r="K583" i="17"/>
  <c r="O583" i="17" s="1"/>
  <c r="P583" i="17" s="1"/>
  <c r="K582" i="17"/>
  <c r="O582" i="17" s="1"/>
  <c r="P582" i="17" s="1"/>
  <c r="K581" i="17"/>
  <c r="O581" i="17" s="1"/>
  <c r="P581" i="17" s="1"/>
  <c r="K580" i="17"/>
  <c r="O580" i="17" s="1"/>
  <c r="P580" i="17" s="1"/>
  <c r="K579" i="17"/>
  <c r="O579" i="17" s="1"/>
  <c r="P579" i="17" s="1"/>
  <c r="K578" i="17"/>
  <c r="O578" i="17" s="1"/>
  <c r="K577" i="17"/>
  <c r="O577" i="17" s="1"/>
  <c r="K576" i="17"/>
  <c r="O576" i="17" s="1"/>
  <c r="P576" i="17" s="1"/>
  <c r="K575" i="17"/>
  <c r="O575" i="17" s="1"/>
  <c r="P575" i="17" s="1"/>
  <c r="K574" i="17"/>
  <c r="O574" i="17" s="1"/>
  <c r="P574" i="17" s="1"/>
  <c r="K573" i="17"/>
  <c r="O573" i="17" s="1"/>
  <c r="P573" i="17" s="1"/>
  <c r="K572" i="17"/>
  <c r="O572" i="17" s="1"/>
  <c r="K570" i="17"/>
  <c r="O570" i="17" s="1"/>
  <c r="K569" i="17"/>
  <c r="O569" i="17" s="1"/>
  <c r="K568" i="17"/>
  <c r="O568" i="17" s="1"/>
  <c r="K567" i="17"/>
  <c r="O567" i="17" s="1"/>
  <c r="K566" i="17"/>
  <c r="O566" i="17" s="1"/>
  <c r="P566" i="17" s="1"/>
  <c r="K565" i="17"/>
  <c r="O565" i="17" s="1"/>
  <c r="P565" i="17" s="1"/>
  <c r="K564" i="17"/>
  <c r="O564" i="17" s="1"/>
  <c r="P564" i="17" s="1"/>
  <c r="K563" i="17"/>
  <c r="O563" i="17" s="1"/>
  <c r="K559" i="17"/>
  <c r="O559" i="17" s="1"/>
  <c r="K558" i="17"/>
  <c r="O558" i="17" s="1"/>
  <c r="P558" i="17" s="1"/>
  <c r="K557" i="17"/>
  <c r="O557" i="17" s="1"/>
  <c r="P557" i="17" s="1"/>
  <c r="K556" i="17"/>
  <c r="O556" i="17" s="1"/>
  <c r="K555" i="17"/>
  <c r="O555" i="17" s="1"/>
  <c r="P555" i="17" s="1"/>
  <c r="K554" i="17"/>
  <c r="O554" i="17" s="1"/>
  <c r="P554" i="17" s="1"/>
  <c r="K553" i="17"/>
  <c r="O553" i="17" s="1"/>
  <c r="K551" i="17"/>
  <c r="O551" i="17" s="1"/>
  <c r="K550" i="17"/>
  <c r="O550" i="17" s="1"/>
  <c r="P550" i="17" s="1"/>
  <c r="K549" i="17"/>
  <c r="O549" i="17" s="1"/>
  <c r="P549" i="17" s="1"/>
  <c r="K548" i="17"/>
  <c r="O548" i="17" s="1"/>
  <c r="K547" i="17"/>
  <c r="O547" i="17" s="1"/>
  <c r="K544" i="17"/>
  <c r="O544" i="17" s="1"/>
  <c r="K543" i="17"/>
  <c r="O543" i="17" s="1"/>
  <c r="P543" i="17" s="1"/>
  <c r="K542" i="17"/>
  <c r="O542" i="17" s="1"/>
  <c r="K541" i="17"/>
  <c r="O541" i="17" s="1"/>
  <c r="K539" i="17"/>
  <c r="O539" i="17" s="1"/>
  <c r="K538" i="17"/>
  <c r="O538" i="17" s="1"/>
  <c r="P538" i="17" s="1"/>
  <c r="K537" i="17"/>
  <c r="O537" i="17" s="1"/>
  <c r="P537" i="17" s="1"/>
  <c r="K536" i="17"/>
  <c r="O536" i="17" s="1"/>
  <c r="K535" i="17"/>
  <c r="O535" i="17" s="1"/>
  <c r="K534" i="17"/>
  <c r="O534" i="17" s="1"/>
  <c r="P534" i="17" s="1"/>
  <c r="K533" i="17"/>
  <c r="O533" i="17" s="1"/>
  <c r="P533" i="17" s="1"/>
  <c r="K532" i="17"/>
  <c r="O532" i="17" s="1"/>
  <c r="K531" i="17"/>
  <c r="O531" i="17" s="1"/>
  <c r="K530" i="17"/>
  <c r="O530" i="17" s="1"/>
  <c r="P530" i="17" s="1"/>
  <c r="K529" i="17"/>
  <c r="O529" i="17" s="1"/>
  <c r="P529" i="17" s="1"/>
  <c r="K528" i="17"/>
  <c r="O528" i="17" s="1"/>
  <c r="K527" i="17"/>
  <c r="O527" i="17" s="1"/>
  <c r="K526" i="17"/>
  <c r="O526" i="17" s="1"/>
  <c r="P526" i="17" s="1"/>
  <c r="K525" i="17"/>
  <c r="O525" i="17" s="1"/>
  <c r="P525" i="17" s="1"/>
  <c r="K524" i="17"/>
  <c r="O524" i="17" s="1"/>
  <c r="K523" i="17"/>
  <c r="O523" i="17" s="1"/>
  <c r="K519" i="17"/>
  <c r="O519" i="17" s="1"/>
  <c r="K517" i="17"/>
  <c r="O517" i="17" s="1"/>
  <c r="P517" i="17" s="1"/>
  <c r="K516" i="17"/>
  <c r="O516" i="17" s="1"/>
  <c r="K515" i="17"/>
  <c r="O515" i="17" s="1"/>
  <c r="K512" i="17"/>
  <c r="O512" i="17" s="1"/>
  <c r="K511" i="17"/>
  <c r="O511" i="17" s="1"/>
  <c r="P511" i="17" s="1"/>
  <c r="K510" i="17"/>
  <c r="O510" i="17" s="1"/>
  <c r="K509" i="17"/>
  <c r="O509" i="17" s="1"/>
  <c r="P509" i="17" s="1"/>
  <c r="K507" i="17"/>
  <c r="O507" i="17" s="1"/>
  <c r="K506" i="17"/>
  <c r="O506" i="17" s="1"/>
  <c r="K503" i="17"/>
  <c r="O503" i="17" s="1"/>
  <c r="K502" i="17"/>
  <c r="O502" i="17" s="1"/>
  <c r="P502" i="17" s="1"/>
  <c r="K501" i="17"/>
  <c r="O501" i="17" s="1"/>
  <c r="P501" i="17" s="1"/>
  <c r="K500" i="17"/>
  <c r="O500" i="17" s="1"/>
  <c r="K499" i="17"/>
  <c r="O499" i="17" s="1"/>
  <c r="K496" i="17"/>
  <c r="O496" i="17" s="1"/>
  <c r="K495" i="17"/>
  <c r="O495" i="17" s="1"/>
  <c r="P495" i="17" s="1"/>
  <c r="K494" i="17"/>
  <c r="O494" i="17" s="1"/>
  <c r="P494" i="17" s="1"/>
  <c r="K493" i="17"/>
  <c r="O493" i="17" s="1"/>
  <c r="K492" i="17"/>
  <c r="O492" i="17" s="1"/>
  <c r="K489" i="17"/>
  <c r="O489" i="17" s="1"/>
  <c r="K488" i="17"/>
  <c r="O488" i="17" s="1"/>
  <c r="P488" i="17" s="1"/>
  <c r="K487" i="17"/>
  <c r="O487" i="17" s="1"/>
  <c r="P487" i="17" s="1"/>
  <c r="K486" i="17"/>
  <c r="O486" i="17" s="1"/>
  <c r="K485" i="17"/>
  <c r="O485" i="17" s="1"/>
  <c r="K482" i="17"/>
  <c r="O482" i="17" s="1"/>
  <c r="K481" i="17"/>
  <c r="O481" i="17" s="1"/>
  <c r="P481" i="17" s="1"/>
  <c r="K479" i="17"/>
  <c r="O479" i="17" s="1"/>
  <c r="K478" i="17"/>
  <c r="O478" i="17" s="1"/>
  <c r="K474" i="17"/>
  <c r="O474" i="17" s="1"/>
  <c r="K473" i="17"/>
  <c r="O473" i="17" s="1"/>
  <c r="P473" i="17" s="1"/>
  <c r="K472" i="17"/>
  <c r="O472" i="17" s="1"/>
  <c r="P472" i="17" s="1"/>
  <c r="K471" i="17"/>
  <c r="O471" i="17" s="1"/>
  <c r="K470" i="17"/>
  <c r="O470" i="17" s="1"/>
  <c r="K466" i="17"/>
  <c r="O466" i="17" s="1"/>
  <c r="K460" i="17"/>
  <c r="O460" i="17" s="1"/>
  <c r="P460" i="17" s="1"/>
  <c r="K458" i="17"/>
  <c r="O458" i="17" s="1"/>
  <c r="K457" i="17"/>
  <c r="O457" i="17" s="1"/>
  <c r="K456" i="17"/>
  <c r="O456" i="17" s="1"/>
  <c r="K455" i="17"/>
  <c r="O455" i="17" s="1"/>
  <c r="K454" i="17"/>
  <c r="O454" i="17" s="1"/>
  <c r="K451" i="17"/>
  <c r="O451" i="17" s="1"/>
  <c r="K450" i="17"/>
  <c r="O450" i="17" s="1"/>
  <c r="P450" i="17" s="1"/>
  <c r="K449" i="17"/>
  <c r="O449" i="17" s="1"/>
  <c r="K447" i="17"/>
  <c r="O447" i="17" s="1"/>
  <c r="K446" i="17"/>
  <c r="O446" i="17" s="1"/>
  <c r="P446" i="17" s="1"/>
  <c r="K445" i="17"/>
  <c r="O445" i="17" s="1"/>
  <c r="P445" i="17" s="1"/>
  <c r="K444" i="17"/>
  <c r="O444" i="17" s="1"/>
  <c r="K443" i="17"/>
  <c r="O443" i="17" s="1"/>
  <c r="K442" i="17"/>
  <c r="O442" i="17" s="1"/>
  <c r="K441" i="17"/>
  <c r="O441" i="17" s="1"/>
  <c r="P441" i="17" s="1"/>
  <c r="K440" i="17"/>
  <c r="O440" i="17" s="1"/>
  <c r="K439" i="17"/>
  <c r="O439" i="17" s="1"/>
  <c r="P439" i="17" s="1"/>
  <c r="K438" i="17"/>
  <c r="O438" i="17" s="1"/>
  <c r="K437" i="17"/>
  <c r="O437" i="17" s="1"/>
  <c r="K436" i="17"/>
  <c r="O436" i="17" s="1"/>
  <c r="K435" i="17"/>
  <c r="O435" i="17" s="1"/>
  <c r="P435" i="17" s="1"/>
  <c r="K434" i="17"/>
  <c r="O434" i="17" s="1"/>
  <c r="K433" i="17"/>
  <c r="O433" i="17" s="1"/>
  <c r="P433" i="17" s="1"/>
  <c r="K432" i="17"/>
  <c r="O432" i="17" s="1"/>
  <c r="K431" i="17"/>
  <c r="O431" i="17" s="1"/>
  <c r="K430" i="17"/>
  <c r="O430" i="17" s="1"/>
  <c r="K429" i="17"/>
  <c r="O429" i="17" s="1"/>
  <c r="P429" i="17" s="1"/>
  <c r="K428" i="17"/>
  <c r="O428" i="17" s="1"/>
  <c r="P428" i="17" s="1"/>
  <c r="K427" i="17"/>
  <c r="O427" i="17" s="1"/>
  <c r="K424" i="17"/>
  <c r="O424" i="17" s="1"/>
  <c r="K423" i="17"/>
  <c r="O423" i="17" s="1"/>
  <c r="P423" i="17" s="1"/>
  <c r="K422" i="17"/>
  <c r="O422" i="17" s="1"/>
  <c r="P422" i="17" s="1"/>
  <c r="K421" i="17"/>
  <c r="O421" i="17" s="1"/>
  <c r="P421" i="17" s="1"/>
  <c r="K418" i="17"/>
  <c r="O418" i="17" s="1"/>
  <c r="P418" i="17" s="1"/>
  <c r="K417" i="17"/>
  <c r="O417" i="17" s="1"/>
  <c r="P417" i="17" s="1"/>
  <c r="K416" i="17"/>
  <c r="O416" i="17" s="1"/>
  <c r="P416" i="17" s="1"/>
  <c r="K415" i="17"/>
  <c r="O415" i="17" s="1"/>
  <c r="P415" i="17" s="1"/>
  <c r="K414" i="17"/>
  <c r="O414" i="17" s="1"/>
  <c r="P414" i="17" s="1"/>
  <c r="K413" i="17"/>
  <c r="O413" i="17" s="1"/>
  <c r="P413" i="17" s="1"/>
  <c r="K411" i="17"/>
  <c r="O411" i="17" s="1"/>
  <c r="K410" i="17"/>
  <c r="O410" i="17" s="1"/>
  <c r="P410" i="17" s="1"/>
  <c r="K409" i="17"/>
  <c r="O409" i="17" s="1"/>
  <c r="K408" i="17"/>
  <c r="O408" i="17" s="1"/>
  <c r="P408" i="17" s="1"/>
  <c r="K407" i="17"/>
  <c r="O407" i="17" s="1"/>
  <c r="P407" i="17" s="1"/>
  <c r="K406" i="17"/>
  <c r="O406" i="17" s="1"/>
  <c r="K405" i="17"/>
  <c r="O405" i="17" s="1"/>
  <c r="K404" i="17"/>
  <c r="O404" i="17" s="1"/>
  <c r="P404" i="17" s="1"/>
  <c r="K403" i="17"/>
  <c r="O403" i="17" s="1"/>
  <c r="P403" i="17" s="1"/>
  <c r="K402" i="17"/>
  <c r="O402" i="17" s="1"/>
  <c r="P402" i="17" s="1"/>
  <c r="K401" i="17"/>
  <c r="O401" i="17" s="1"/>
  <c r="P401" i="17" s="1"/>
  <c r="K400" i="17"/>
  <c r="O400" i="17" s="1"/>
  <c r="P400" i="17" s="1"/>
  <c r="K399" i="17"/>
  <c r="O399" i="17" s="1"/>
  <c r="P399" i="17" s="1"/>
  <c r="K397" i="17"/>
  <c r="O397" i="17" s="1"/>
  <c r="K396" i="17"/>
  <c r="O396" i="17" s="1"/>
  <c r="P396" i="17" s="1"/>
  <c r="K395" i="17"/>
  <c r="O395" i="17" s="1"/>
  <c r="P395" i="17" s="1"/>
  <c r="K394" i="17"/>
  <c r="O394" i="17" s="1"/>
  <c r="P394" i="17" s="1"/>
  <c r="K393" i="17"/>
  <c r="O393" i="17" s="1"/>
  <c r="P393" i="17" s="1"/>
  <c r="K392" i="17"/>
  <c r="O392" i="17" s="1"/>
  <c r="P392" i="17" s="1"/>
  <c r="K391" i="17"/>
  <c r="O391" i="17" s="1"/>
  <c r="P391" i="17" s="1"/>
  <c r="K390" i="17"/>
  <c r="O390" i="17" s="1"/>
  <c r="K388" i="17"/>
  <c r="O388" i="17" s="1"/>
  <c r="K387" i="17"/>
  <c r="O387" i="17" s="1"/>
  <c r="P387" i="17" s="1"/>
  <c r="K386" i="17"/>
  <c r="O386" i="17" s="1"/>
  <c r="K385" i="17"/>
  <c r="O385" i="17" s="1"/>
  <c r="K382" i="17"/>
  <c r="O382" i="17" s="1"/>
  <c r="K381" i="17"/>
  <c r="O381" i="17" s="1"/>
  <c r="P381" i="17" s="1"/>
  <c r="K380" i="17"/>
  <c r="O380" i="17" s="1"/>
  <c r="K379" i="17"/>
  <c r="O379" i="17" s="1"/>
  <c r="P379" i="17" s="1"/>
  <c r="K378" i="17"/>
  <c r="O378" i="17" s="1"/>
  <c r="P378" i="17" s="1"/>
  <c r="K377" i="17"/>
  <c r="O377" i="17" s="1"/>
  <c r="K376" i="17"/>
  <c r="O376" i="17" s="1"/>
  <c r="K375" i="17"/>
  <c r="O375" i="17" s="1"/>
  <c r="P375" i="17" s="1"/>
  <c r="K373" i="17"/>
  <c r="O373" i="17" s="1"/>
  <c r="K372" i="17"/>
  <c r="O372" i="17" s="1"/>
  <c r="K369" i="17"/>
  <c r="O369" i="17" s="1"/>
  <c r="K368" i="17"/>
  <c r="O368" i="17" s="1"/>
  <c r="P368" i="17" s="1"/>
  <c r="K367" i="17"/>
  <c r="O367" i="17" s="1"/>
  <c r="K366" i="17"/>
  <c r="O366" i="17" s="1"/>
  <c r="P366" i="17" s="1"/>
  <c r="K365" i="17"/>
  <c r="O365" i="17" s="1"/>
  <c r="P365" i="17" s="1"/>
  <c r="K364" i="17"/>
  <c r="O364" i="17" s="1"/>
  <c r="K363" i="17"/>
  <c r="O363" i="17" s="1"/>
  <c r="P363" i="17" s="1"/>
  <c r="K362" i="17"/>
  <c r="O362" i="17" s="1"/>
  <c r="P362" i="17" s="1"/>
  <c r="K361" i="17"/>
  <c r="O361" i="17" s="1"/>
  <c r="K360" i="17"/>
  <c r="O360" i="17" s="1"/>
  <c r="K354" i="17"/>
  <c r="O354" i="17" s="1"/>
  <c r="K353" i="17"/>
  <c r="O353" i="17" s="1"/>
  <c r="P353" i="17" s="1"/>
  <c r="K352" i="17"/>
  <c r="O352" i="17" s="1"/>
  <c r="K351" i="17"/>
  <c r="O351" i="17" s="1"/>
  <c r="P351" i="17" s="1"/>
  <c r="K350" i="17"/>
  <c r="O350" i="17" s="1"/>
  <c r="P350" i="17" s="1"/>
  <c r="K349" i="17"/>
  <c r="O349" i="17" s="1"/>
  <c r="K348" i="17"/>
  <c r="O348" i="17" s="1"/>
  <c r="K345" i="17"/>
  <c r="O345" i="17" s="1"/>
  <c r="K344" i="17"/>
  <c r="O344" i="17" s="1"/>
  <c r="P344" i="17" s="1"/>
  <c r="K343" i="17"/>
  <c r="O343" i="17" s="1"/>
  <c r="K342" i="17"/>
  <c r="O342" i="17" s="1"/>
  <c r="P342" i="17" s="1"/>
  <c r="K341" i="17"/>
  <c r="O341" i="17" s="1"/>
  <c r="P341" i="17" s="1"/>
  <c r="K340" i="17"/>
  <c r="O340" i="17" s="1"/>
  <c r="P340" i="17" s="1"/>
  <c r="K339" i="17"/>
  <c r="O339" i="17" s="1"/>
  <c r="P339" i="17" s="1"/>
  <c r="K338" i="17"/>
  <c r="O338" i="17" s="1"/>
  <c r="K337" i="17"/>
  <c r="O337" i="17" s="1"/>
  <c r="K332" i="17"/>
  <c r="O332" i="17" s="1"/>
  <c r="K330" i="17"/>
  <c r="O330" i="17" s="1"/>
  <c r="K329" i="17"/>
  <c r="O329" i="17" s="1"/>
  <c r="P329" i="17" s="1"/>
  <c r="K328" i="17"/>
  <c r="O328" i="17" s="1"/>
  <c r="P328" i="17" s="1"/>
  <c r="K327" i="17"/>
  <c r="O327" i="17" s="1"/>
  <c r="P327" i="17" s="1"/>
  <c r="K326" i="17"/>
  <c r="O326" i="17" s="1"/>
  <c r="P326" i="17" s="1"/>
  <c r="K325" i="17"/>
  <c r="O325" i="17" s="1"/>
  <c r="K324" i="17"/>
  <c r="O324" i="17" s="1"/>
  <c r="K318" i="17"/>
  <c r="O318" i="17" s="1"/>
  <c r="K311" i="17"/>
  <c r="O311" i="17" s="1"/>
  <c r="P311" i="17" s="1"/>
  <c r="K309" i="17"/>
  <c r="O309" i="17" s="1"/>
  <c r="K308" i="17"/>
  <c r="O308" i="17" s="1"/>
  <c r="K307" i="17"/>
  <c r="O307" i="17" s="1"/>
  <c r="K306" i="17"/>
  <c r="O306" i="17" s="1"/>
  <c r="K305" i="17"/>
  <c r="O305" i="17" s="1"/>
  <c r="P305" i="17" s="1"/>
  <c r="K304" i="17"/>
  <c r="O304" i="17" s="1"/>
  <c r="K302" i="17"/>
  <c r="O302" i="17" s="1"/>
  <c r="K301" i="17"/>
  <c r="O301" i="17" s="1"/>
  <c r="P301" i="17" s="1"/>
  <c r="K300" i="17"/>
  <c r="O300" i="17" s="1"/>
  <c r="P300" i="17" s="1"/>
  <c r="K299" i="17"/>
  <c r="O299" i="17" s="1"/>
  <c r="K293" i="17"/>
  <c r="O293" i="17" s="1"/>
  <c r="P293" i="17" s="1"/>
  <c r="K291" i="17"/>
  <c r="O291" i="17" s="1"/>
  <c r="K290" i="17"/>
  <c r="O290" i="17" s="1"/>
  <c r="K289" i="17"/>
  <c r="O289" i="17" s="1"/>
  <c r="K288" i="17"/>
  <c r="O288" i="17" s="1"/>
  <c r="K287" i="17"/>
  <c r="O287" i="17" s="1"/>
  <c r="K286" i="17"/>
  <c r="O286" i="17" s="1"/>
  <c r="K285" i="17"/>
  <c r="O285" i="17" s="1"/>
  <c r="K284" i="17"/>
  <c r="O284" i="17" s="1"/>
  <c r="K283" i="17"/>
  <c r="O283" i="17" s="1"/>
  <c r="K282" i="17"/>
  <c r="O282" i="17" s="1"/>
  <c r="P282" i="17" s="1"/>
  <c r="K281" i="17"/>
  <c r="O281" i="17" s="1"/>
  <c r="K280" i="17"/>
  <c r="O280" i="17" s="1"/>
  <c r="K278" i="17"/>
  <c r="O278" i="17" s="1"/>
  <c r="K277" i="17"/>
  <c r="O277" i="17" s="1"/>
  <c r="K276" i="17"/>
  <c r="O276" i="17" s="1"/>
  <c r="P276" i="17" s="1"/>
  <c r="K275" i="17"/>
  <c r="O275" i="17" s="1"/>
  <c r="P275" i="17" s="1"/>
  <c r="K274" i="17"/>
  <c r="O274" i="17" s="1"/>
  <c r="K273" i="17"/>
  <c r="O273" i="17" s="1"/>
  <c r="K272" i="17"/>
  <c r="O272" i="17" s="1"/>
  <c r="P272" i="17" s="1"/>
  <c r="K271" i="17"/>
  <c r="O271" i="17" s="1"/>
  <c r="P271" i="17" s="1"/>
  <c r="K270" i="17"/>
  <c r="O270" i="17" s="1"/>
  <c r="K266" i="17"/>
  <c r="O266" i="17" s="1"/>
  <c r="K265" i="17"/>
  <c r="O265" i="17" s="1"/>
  <c r="P265" i="17" s="1"/>
  <c r="K263" i="17"/>
  <c r="O263" i="17" s="1"/>
  <c r="K259" i="17"/>
  <c r="O259" i="17" s="1"/>
  <c r="K258" i="17"/>
  <c r="O258" i="17" s="1"/>
  <c r="P258" i="17" s="1"/>
  <c r="K257" i="17"/>
  <c r="O257" i="17" s="1"/>
  <c r="K255" i="17"/>
  <c r="O255" i="17" s="1"/>
  <c r="K253" i="17"/>
  <c r="O253" i="17" s="1"/>
  <c r="K252" i="17"/>
  <c r="O252" i="17" s="1"/>
  <c r="K251" i="17"/>
  <c r="O251" i="17" s="1"/>
  <c r="K250" i="17"/>
  <c r="O250" i="17" s="1"/>
  <c r="P250" i="17" s="1"/>
  <c r="K249" i="17"/>
  <c r="O249" i="17" s="1"/>
  <c r="P249" i="17" s="1"/>
  <c r="K248" i="17"/>
  <c r="O248" i="17" s="1"/>
  <c r="P248" i="17" s="1"/>
  <c r="K247" i="17"/>
  <c r="O247" i="17" s="1"/>
  <c r="P247" i="17" s="1"/>
  <c r="K246" i="17"/>
  <c r="O246" i="17" s="1"/>
  <c r="P246" i="17" s="1"/>
  <c r="K245" i="17"/>
  <c r="O245" i="17" s="1"/>
  <c r="P245" i="17" s="1"/>
  <c r="K244" i="17"/>
  <c r="O244" i="17" s="1"/>
  <c r="P244" i="17" s="1"/>
  <c r="K242" i="17"/>
  <c r="O242" i="17" s="1"/>
  <c r="P242" i="17" s="1"/>
  <c r="K241" i="17"/>
  <c r="O241" i="17" s="1"/>
  <c r="P241" i="17" s="1"/>
  <c r="K240" i="17"/>
  <c r="O240" i="17" s="1"/>
  <c r="P240" i="17" s="1"/>
  <c r="K239" i="17"/>
  <c r="O239" i="17" s="1"/>
  <c r="P239" i="17" s="1"/>
  <c r="K238" i="17"/>
  <c r="O238" i="17" s="1"/>
  <c r="P238" i="17" s="1"/>
  <c r="K235" i="17"/>
  <c r="O235" i="17" s="1"/>
  <c r="K234" i="17"/>
  <c r="O234" i="17" s="1"/>
  <c r="P234" i="17" s="1"/>
  <c r="K233" i="17"/>
  <c r="O233" i="17" s="1"/>
  <c r="P233" i="17" s="1"/>
  <c r="K232" i="17"/>
  <c r="O232" i="17" s="1"/>
  <c r="P232" i="17" s="1"/>
  <c r="K231" i="17"/>
  <c r="O231" i="17" s="1"/>
  <c r="P231" i="17" s="1"/>
  <c r="K229" i="17"/>
  <c r="O229" i="17" s="1"/>
  <c r="K227" i="17"/>
  <c r="O227" i="17" s="1"/>
  <c r="K226" i="17"/>
  <c r="O226" i="17" s="1"/>
  <c r="P226" i="17" s="1"/>
  <c r="K225" i="17"/>
  <c r="O225" i="17" s="1"/>
  <c r="K224" i="17"/>
  <c r="O224" i="17" s="1"/>
  <c r="P224" i="17" s="1"/>
  <c r="K223" i="17"/>
  <c r="O223" i="17" s="1"/>
  <c r="K222" i="17"/>
  <c r="O222" i="17" s="1"/>
  <c r="K221" i="17"/>
  <c r="O221" i="17" s="1"/>
  <c r="P221" i="17" s="1"/>
  <c r="K220" i="17"/>
  <c r="O220" i="17" s="1"/>
  <c r="K219" i="17"/>
  <c r="O219" i="17" s="1"/>
  <c r="K218" i="17"/>
  <c r="O218" i="17" s="1"/>
  <c r="P218" i="17" s="1"/>
  <c r="K217" i="17"/>
  <c r="O217" i="17" s="1"/>
  <c r="P217" i="17" s="1"/>
  <c r="K216" i="17"/>
  <c r="O216" i="17" s="1"/>
  <c r="K215" i="17"/>
  <c r="O215" i="17" s="1"/>
  <c r="K214" i="17"/>
  <c r="O214" i="17" s="1"/>
  <c r="P214" i="17" s="1"/>
  <c r="K213" i="17"/>
  <c r="O213" i="17" s="1"/>
  <c r="K210" i="17"/>
  <c r="O210" i="17" s="1"/>
  <c r="K209" i="17"/>
  <c r="O209" i="17" s="1"/>
  <c r="P209" i="17" s="1"/>
  <c r="K208" i="17"/>
  <c r="O208" i="17" s="1"/>
  <c r="K207" i="17"/>
  <c r="O207" i="17" s="1"/>
  <c r="K206" i="17"/>
  <c r="O206" i="17" s="1"/>
  <c r="P206" i="17" s="1"/>
  <c r="K205" i="17"/>
  <c r="O205" i="17" s="1"/>
  <c r="P205" i="17" s="1"/>
  <c r="K204" i="17"/>
  <c r="O204" i="17" s="1"/>
  <c r="K203" i="17"/>
  <c r="O203" i="17" s="1"/>
  <c r="K202" i="17"/>
  <c r="O202" i="17" s="1"/>
  <c r="P202" i="17" s="1"/>
  <c r="K201" i="17"/>
  <c r="O201" i="17" s="1"/>
  <c r="K200" i="17"/>
  <c r="O200" i="17" s="1"/>
  <c r="P200" i="17" s="1"/>
  <c r="K199" i="17"/>
  <c r="O199" i="17" s="1"/>
  <c r="K198" i="17"/>
  <c r="O198" i="17" s="1"/>
  <c r="K197" i="17"/>
  <c r="O197" i="17" s="1"/>
  <c r="P197" i="17" s="1"/>
  <c r="K196" i="17"/>
  <c r="O196" i="17" s="1"/>
  <c r="K195" i="17"/>
  <c r="O195" i="17" s="1"/>
  <c r="P195" i="17" s="1"/>
  <c r="K194" i="17"/>
  <c r="O194" i="17" s="1"/>
  <c r="K190" i="17"/>
  <c r="O190" i="17" s="1"/>
  <c r="K189" i="17"/>
  <c r="O189" i="17" s="1"/>
  <c r="P189" i="17" s="1"/>
  <c r="K188" i="17"/>
  <c r="O188" i="17" s="1"/>
  <c r="K187" i="17"/>
  <c r="O187" i="17" s="1"/>
  <c r="P187" i="17" s="1"/>
  <c r="K186" i="17"/>
  <c r="O186" i="17" s="1"/>
  <c r="P186" i="17" s="1"/>
  <c r="K185" i="17"/>
  <c r="O185" i="17" s="1"/>
  <c r="K184" i="17"/>
  <c r="O184" i="17" s="1"/>
  <c r="K183" i="17"/>
  <c r="O183" i="17" s="1"/>
  <c r="K182" i="17"/>
  <c r="O182" i="17" s="1"/>
  <c r="K181" i="17"/>
  <c r="O181" i="17" s="1"/>
  <c r="K180" i="17"/>
  <c r="O180" i="17" s="1"/>
  <c r="K179" i="17"/>
  <c r="O179" i="17" s="1"/>
  <c r="K178" i="17"/>
  <c r="O178" i="17" s="1"/>
  <c r="K177" i="17"/>
  <c r="O177" i="17" s="1"/>
  <c r="K176" i="17"/>
  <c r="O176" i="17" s="1"/>
  <c r="K175" i="17"/>
  <c r="O175" i="17" s="1"/>
  <c r="K174" i="17"/>
  <c r="O174" i="17" s="1"/>
  <c r="P174" i="17" s="1"/>
  <c r="K173" i="17"/>
  <c r="O173" i="17" s="1"/>
  <c r="K172" i="17"/>
  <c r="O172" i="17" s="1"/>
  <c r="P172" i="17" s="1"/>
  <c r="K171" i="17"/>
  <c r="O171" i="17" s="1"/>
  <c r="P171" i="17" s="1"/>
  <c r="K170" i="17"/>
  <c r="O170" i="17" s="1"/>
  <c r="K169" i="17"/>
  <c r="O169" i="17" s="1"/>
  <c r="P169" i="17" s="1"/>
  <c r="K168" i="17"/>
  <c r="O168" i="17" s="1"/>
  <c r="K167" i="17"/>
  <c r="O167" i="17" s="1"/>
  <c r="P167" i="17" s="1"/>
  <c r="K166" i="17"/>
  <c r="O166" i="17" s="1"/>
  <c r="P166" i="17" s="1"/>
  <c r="K165" i="17"/>
  <c r="O165" i="17" s="1"/>
  <c r="K164" i="17"/>
  <c r="O164" i="17" s="1"/>
  <c r="P164" i="17" s="1"/>
  <c r="K163" i="17"/>
  <c r="O163" i="17" s="1"/>
  <c r="K162" i="17"/>
  <c r="O162" i="17" s="1"/>
  <c r="P162" i="17" s="1"/>
  <c r="K161" i="17"/>
  <c r="O161" i="17" s="1"/>
  <c r="K160" i="17"/>
  <c r="O160" i="17" s="1"/>
  <c r="P160" i="17" s="1"/>
  <c r="K159" i="17"/>
  <c r="O159" i="17" s="1"/>
  <c r="K158" i="17"/>
  <c r="O158" i="17" s="1"/>
  <c r="P158" i="17" s="1"/>
  <c r="K157" i="17"/>
  <c r="O157" i="17" s="1"/>
  <c r="P157" i="17" s="1"/>
  <c r="K156" i="17"/>
  <c r="O156" i="17" s="1"/>
  <c r="K155" i="17"/>
  <c r="O155" i="17" s="1"/>
  <c r="P155" i="17" s="1"/>
  <c r="K154" i="17"/>
  <c r="O154" i="17" s="1"/>
  <c r="K153" i="17"/>
  <c r="O153" i="17" s="1"/>
  <c r="P153" i="17" s="1"/>
  <c r="K152" i="17"/>
  <c r="O152" i="17" s="1"/>
  <c r="P152" i="17" s="1"/>
  <c r="K151" i="17"/>
  <c r="O151" i="17" s="1"/>
  <c r="K150" i="17"/>
  <c r="O150" i="17" s="1"/>
  <c r="P150" i="17" s="1"/>
  <c r="K149" i="17"/>
  <c r="O149" i="17" s="1"/>
  <c r="K148" i="17"/>
  <c r="O148" i="17" s="1"/>
  <c r="P148" i="17" s="1"/>
  <c r="K147" i="17"/>
  <c r="O147" i="17" s="1"/>
  <c r="P147" i="17" s="1"/>
  <c r="K146" i="17"/>
  <c r="O146" i="17" s="1"/>
  <c r="K145" i="17"/>
  <c r="O145" i="17" s="1"/>
  <c r="P145" i="17" s="1"/>
  <c r="K144" i="17"/>
  <c r="O144" i="17" s="1"/>
  <c r="K143" i="17"/>
  <c r="O143" i="17" s="1"/>
  <c r="P143" i="17" s="1"/>
  <c r="K142" i="17"/>
  <c r="O142" i="17" s="1"/>
  <c r="P142" i="17" s="1"/>
  <c r="K141" i="17"/>
  <c r="O141" i="17" s="1"/>
  <c r="K140" i="17"/>
  <c r="O140" i="17" s="1"/>
  <c r="P140" i="17" s="1"/>
  <c r="K139" i="17"/>
  <c r="O139" i="17" s="1"/>
  <c r="K138" i="17"/>
  <c r="O138" i="17" s="1"/>
  <c r="P138" i="17" s="1"/>
  <c r="K137" i="17"/>
  <c r="O137" i="17" s="1"/>
  <c r="P137" i="17" s="1"/>
  <c r="K136" i="17"/>
  <c r="O136" i="17" s="1"/>
  <c r="K135" i="17"/>
  <c r="O135" i="17" s="1"/>
  <c r="P135" i="17" s="1"/>
  <c r="K134" i="17"/>
  <c r="O134" i="17" s="1"/>
  <c r="K133" i="17"/>
  <c r="O133" i="17" s="1"/>
  <c r="P133" i="17" s="1"/>
  <c r="K132" i="17"/>
  <c r="O132" i="17" s="1"/>
  <c r="P132" i="17" s="1"/>
  <c r="K131" i="17"/>
  <c r="O131" i="17" s="1"/>
  <c r="K130" i="17"/>
  <c r="O130" i="17" s="1"/>
  <c r="P130" i="17" s="1"/>
  <c r="K129" i="17"/>
  <c r="O129" i="17" s="1"/>
  <c r="K128" i="17"/>
  <c r="O128" i="17" s="1"/>
  <c r="P128" i="17" s="1"/>
  <c r="K127" i="17"/>
  <c r="O127" i="17" s="1"/>
  <c r="P127" i="17" s="1"/>
  <c r="K126" i="17"/>
  <c r="O126" i="17" s="1"/>
  <c r="K125" i="17"/>
  <c r="O125" i="17" s="1"/>
  <c r="P125" i="17" s="1"/>
  <c r="K124" i="17"/>
  <c r="O124" i="17" s="1"/>
  <c r="K123" i="17"/>
  <c r="O123" i="17" s="1"/>
  <c r="P123" i="17" s="1"/>
  <c r="K122" i="17"/>
  <c r="O122" i="17" s="1"/>
  <c r="P122" i="17" s="1"/>
  <c r="K121" i="17"/>
  <c r="O121" i="17" s="1"/>
  <c r="K120" i="17"/>
  <c r="O120" i="17" s="1"/>
  <c r="P120" i="17" s="1"/>
  <c r="K119" i="17"/>
  <c r="O119" i="17" s="1"/>
  <c r="K118" i="17"/>
  <c r="O118" i="17" s="1"/>
  <c r="P118" i="17" s="1"/>
  <c r="K117" i="17"/>
  <c r="O117" i="17" s="1"/>
  <c r="P117" i="17" s="1"/>
  <c r="K116" i="17"/>
  <c r="O116" i="17" s="1"/>
  <c r="K115" i="17"/>
  <c r="O115" i="17" s="1"/>
  <c r="P115" i="17" s="1"/>
  <c r="K114" i="17"/>
  <c r="O114" i="17" s="1"/>
  <c r="K113" i="17"/>
  <c r="O113" i="17" s="1"/>
  <c r="P113" i="17" s="1"/>
  <c r="K112" i="17"/>
  <c r="O112" i="17" s="1"/>
  <c r="K111" i="17"/>
  <c r="O111" i="17" s="1"/>
  <c r="P111" i="17" s="1"/>
  <c r="K110" i="17"/>
  <c r="O110" i="17" s="1"/>
  <c r="K109" i="17"/>
  <c r="O109" i="17" s="1"/>
  <c r="K108" i="17"/>
  <c r="O108" i="17" s="1"/>
  <c r="K107" i="17"/>
  <c r="O107" i="17" s="1"/>
  <c r="P107" i="17" s="1"/>
  <c r="K106" i="17"/>
  <c r="O106" i="17" s="1"/>
  <c r="P106" i="17" s="1"/>
  <c r="K105" i="17"/>
  <c r="O105" i="17" s="1"/>
  <c r="P105" i="17" s="1"/>
  <c r="K103" i="17"/>
  <c r="O103" i="17" s="1"/>
  <c r="K102" i="17"/>
  <c r="O102" i="17" s="1"/>
  <c r="P102" i="17" s="1"/>
  <c r="K101" i="17"/>
  <c r="O101" i="17" s="1"/>
  <c r="K100" i="17"/>
  <c r="O100" i="17" s="1"/>
  <c r="P100" i="17" s="1"/>
  <c r="K99" i="17"/>
  <c r="O99" i="17" s="1"/>
  <c r="K98" i="17"/>
  <c r="O98" i="17" s="1"/>
  <c r="P98" i="17" s="1"/>
  <c r="K97" i="17"/>
  <c r="O97" i="17" s="1"/>
  <c r="P97" i="17" s="1"/>
  <c r="K96" i="17"/>
  <c r="O96" i="17" s="1"/>
  <c r="P96" i="17" s="1"/>
  <c r="K94" i="17"/>
  <c r="O94" i="17" s="1"/>
  <c r="K93" i="17"/>
  <c r="O93" i="17" s="1"/>
  <c r="P93" i="17" s="1"/>
  <c r="K92" i="17"/>
  <c r="O92" i="17" s="1"/>
  <c r="K91" i="17"/>
  <c r="O91" i="17" s="1"/>
  <c r="P91" i="17" s="1"/>
  <c r="K90" i="17"/>
  <c r="O90" i="17" s="1"/>
  <c r="P90" i="17" s="1"/>
  <c r="K89" i="17"/>
  <c r="O89" i="17" s="1"/>
  <c r="K88" i="17"/>
  <c r="O88" i="17" s="1"/>
  <c r="P88" i="17" s="1"/>
  <c r="K87" i="17"/>
  <c r="O87" i="17" s="1"/>
  <c r="P87" i="17" s="1"/>
  <c r="K86" i="17"/>
  <c r="O86" i="17" s="1"/>
  <c r="P86" i="17" s="1"/>
  <c r="K85" i="17"/>
  <c r="O85" i="17" s="1"/>
  <c r="P85" i="17" s="1"/>
  <c r="K84" i="17"/>
  <c r="O84" i="17" s="1"/>
  <c r="P84" i="17" s="1"/>
  <c r="K83" i="17"/>
  <c r="K82" i="17"/>
  <c r="O82" i="17" s="1"/>
  <c r="K81" i="17"/>
  <c r="O81" i="17" s="1"/>
  <c r="P81" i="17" s="1"/>
  <c r="K80" i="17"/>
  <c r="O80" i="17" s="1"/>
  <c r="P80" i="17" s="1"/>
  <c r="K79" i="17"/>
  <c r="O79" i="17" s="1"/>
  <c r="K73" i="17"/>
  <c r="O73" i="17" s="1"/>
  <c r="P73" i="17" s="1"/>
  <c r="K71" i="17"/>
  <c r="O71" i="17" s="1"/>
  <c r="K70" i="17"/>
  <c r="O70" i="17" s="1"/>
  <c r="K69" i="17"/>
  <c r="O69" i="17" s="1"/>
  <c r="K68" i="17"/>
  <c r="O68" i="17" s="1"/>
  <c r="K65" i="17"/>
  <c r="O65" i="17" s="1"/>
  <c r="K64" i="17"/>
  <c r="O64" i="17" s="1"/>
  <c r="K63" i="17"/>
  <c r="O63" i="17" s="1"/>
  <c r="K62" i="17"/>
  <c r="O62" i="17" s="1"/>
  <c r="K61" i="17"/>
  <c r="O61" i="17" s="1"/>
  <c r="P61" i="17" s="1"/>
  <c r="K60" i="17"/>
  <c r="O60" i="17" s="1"/>
  <c r="K59" i="17"/>
  <c r="O59" i="17" s="1"/>
  <c r="P59" i="17" s="1"/>
  <c r="K58" i="17"/>
  <c r="O58" i="17" s="1"/>
  <c r="P58" i="17" s="1"/>
  <c r="K57" i="17"/>
  <c r="O57" i="17" s="1"/>
  <c r="K56" i="17"/>
  <c r="O56" i="17" s="1"/>
  <c r="P56" i="17" s="1"/>
  <c r="K55" i="17"/>
  <c r="O55" i="17" s="1"/>
  <c r="P55" i="17" s="1"/>
  <c r="K54" i="17"/>
  <c r="O54" i="17" s="1"/>
  <c r="K53" i="17"/>
  <c r="O53" i="17" s="1"/>
  <c r="P53" i="17" s="1"/>
  <c r="K52" i="17"/>
  <c r="O52" i="17" s="1"/>
  <c r="K51" i="17"/>
  <c r="O51" i="17" s="1"/>
  <c r="P51" i="17" s="1"/>
  <c r="K49" i="17"/>
  <c r="O49" i="17" s="1"/>
  <c r="K48" i="17"/>
  <c r="O48" i="17" s="1"/>
  <c r="P48" i="17" s="1"/>
  <c r="K47" i="17"/>
  <c r="O47" i="17" s="1"/>
  <c r="P47" i="17" s="1"/>
  <c r="K46" i="17"/>
  <c r="O46" i="17" s="1"/>
  <c r="K45" i="17"/>
  <c r="O45" i="17" s="1"/>
  <c r="P45" i="17" s="1"/>
  <c r="K44" i="17"/>
  <c r="O44" i="17" s="1"/>
  <c r="P44" i="17" s="1"/>
  <c r="K43" i="17"/>
  <c r="O43" i="17" s="1"/>
  <c r="K42" i="17"/>
  <c r="O42" i="17" s="1"/>
  <c r="P42" i="17" s="1"/>
  <c r="K41" i="17"/>
  <c r="O41" i="17" s="1"/>
  <c r="K40" i="17"/>
  <c r="O40" i="17" s="1"/>
  <c r="P40" i="17" s="1"/>
  <c r="K39" i="17"/>
  <c r="O39" i="17" s="1"/>
  <c r="K36" i="17"/>
  <c r="O36" i="17" s="1"/>
  <c r="K33" i="17"/>
  <c r="O33" i="17" s="1"/>
  <c r="K28" i="17"/>
  <c r="O28" i="17" s="1"/>
  <c r="P28" i="17" s="1"/>
  <c r="K26" i="17"/>
  <c r="O26" i="17" s="1"/>
  <c r="K25" i="17"/>
  <c r="O25" i="17" s="1"/>
  <c r="K24" i="17"/>
  <c r="O24" i="17" s="1"/>
  <c r="K23" i="17"/>
  <c r="O23" i="17" s="1"/>
  <c r="K22" i="17"/>
  <c r="O22" i="17" s="1"/>
  <c r="P22" i="17" s="1"/>
  <c r="K21" i="17"/>
  <c r="O21" i="17" s="1"/>
  <c r="P21" i="17" s="1"/>
  <c r="K20" i="17"/>
  <c r="O20" i="17" s="1"/>
  <c r="K17" i="17"/>
  <c r="O17" i="17" s="1"/>
  <c r="K16" i="17"/>
  <c r="O16" i="17" s="1"/>
  <c r="P16" i="17" s="1"/>
  <c r="K13" i="17"/>
  <c r="O13" i="17" s="1"/>
  <c r="K8" i="17"/>
  <c r="O8" i="17" s="1"/>
  <c r="P8" i="17" s="1"/>
  <c r="L7" i="17"/>
  <c r="L9" i="17" s="1"/>
  <c r="L11" i="17" s="1"/>
  <c r="L1931" i="17" s="1"/>
  <c r="L12" i="17"/>
  <c r="L1966" i="17" s="1"/>
  <c r="L32" i="17"/>
  <c r="L1967" i="17" s="1"/>
  <c r="L27" i="17"/>
  <c r="L31" i="17" s="1"/>
  <c r="L29" i="17" s="1"/>
  <c r="L83" i="17"/>
  <c r="L95" i="17"/>
  <c r="L104" i="17"/>
  <c r="L192" i="17"/>
  <c r="L193" i="17"/>
  <c r="L211" i="17"/>
  <c r="L212" i="17"/>
  <c r="L230" i="17"/>
  <c r="L237" i="17"/>
  <c r="J2012" i="17" l="1"/>
  <c r="G2012" i="17"/>
  <c r="C34" i="57"/>
  <c r="C41" i="57" s="1"/>
  <c r="F12" i="57"/>
  <c r="J12" i="57" s="1"/>
  <c r="K12" i="57" s="1"/>
  <c r="E41" i="57"/>
  <c r="D18" i="57"/>
  <c r="D34" i="57" s="1"/>
  <c r="D41" i="57" s="1"/>
  <c r="B18" i="57"/>
  <c r="F20" i="57"/>
  <c r="J20" i="57" s="1"/>
  <c r="K20" i="57" s="1"/>
  <c r="F36" i="57"/>
  <c r="J36" i="57" s="1"/>
  <c r="K36" i="57" s="1"/>
  <c r="F5" i="57"/>
  <c r="J5" i="57" s="1"/>
  <c r="K5" i="57" s="1"/>
  <c r="K1961" i="17"/>
  <c r="K1959" i="17"/>
  <c r="K1957" i="17"/>
  <c r="L1932" i="17"/>
  <c r="K1927" i="17"/>
  <c r="K1925" i="17"/>
  <c r="K1923" i="17"/>
  <c r="K1921" i="17"/>
  <c r="K1919" i="17"/>
  <c r="K1890" i="17"/>
  <c r="K1888" i="17"/>
  <c r="K1886" i="17"/>
  <c r="K1883" i="17"/>
  <c r="L2012" i="17"/>
  <c r="K1960" i="17"/>
  <c r="K1958" i="17"/>
  <c r="K1956" i="17"/>
  <c r="K1954" i="17"/>
  <c r="K1926" i="17"/>
  <c r="K1924" i="17"/>
  <c r="K1922" i="17"/>
  <c r="K1892" i="17"/>
  <c r="K1889" i="17"/>
  <c r="K1887" i="17"/>
  <c r="K1885" i="17"/>
  <c r="O83" i="17"/>
  <c r="P83" i="17" s="1"/>
  <c r="M83" i="17"/>
  <c r="N83" i="17" s="1"/>
  <c r="L191" i="17"/>
  <c r="H18" i="57" l="1"/>
  <c r="I18" i="57" s="1"/>
  <c r="F18" i="57"/>
  <c r="J18" i="57" s="1"/>
  <c r="K18" i="57" s="1"/>
  <c r="B34" i="57"/>
  <c r="B41" i="57" l="1"/>
  <c r="H41" i="57" s="1"/>
  <c r="I41" i="57" s="1"/>
  <c r="F34" i="57"/>
  <c r="H34" i="57"/>
  <c r="I34" i="57" s="1"/>
  <c r="J34" i="57" l="1"/>
  <c r="K34" i="57" s="1"/>
  <c r="F41" i="57"/>
  <c r="J41" i="57" s="1"/>
  <c r="K41" i="57" s="1"/>
  <c r="L236" i="17" l="1"/>
  <c r="L261" i="17"/>
  <c r="L262" i="17"/>
  <c r="L268" i="17"/>
  <c r="L269" i="17"/>
  <c r="L298" i="17"/>
  <c r="L1969" i="17" s="1"/>
  <c r="L292" i="17"/>
  <c r="I322" i="17"/>
  <c r="I323" i="17"/>
  <c r="L297" i="17" l="1"/>
  <c r="L1934" i="17" s="1"/>
  <c r="L267" i="17"/>
  <c r="L260" i="17"/>
  <c r="L228" i="17"/>
  <c r="L78" i="17"/>
  <c r="L1968" i="17" s="1"/>
  <c r="L72" i="17"/>
  <c r="L1933" i="17" l="1"/>
  <c r="L294" i="17"/>
  <c r="L333" i="17" l="1"/>
  <c r="L334" i="17"/>
  <c r="L335" i="17"/>
  <c r="L336" i="17"/>
  <c r="L346" i="17"/>
  <c r="L347" i="17"/>
  <c r="L355" i="17"/>
  <c r="L356" i="17"/>
  <c r="L370" i="17"/>
  <c r="L371" i="17"/>
  <c r="L419" i="17"/>
  <c r="L412" i="17"/>
  <c r="L468" i="17"/>
  <c r="L469" i="17"/>
  <c r="L476" i="17"/>
  <c r="L477" i="17"/>
  <c r="L483" i="17"/>
  <c r="L484" i="17"/>
  <c r="L490" i="17"/>
  <c r="L491" i="17"/>
  <c r="L497" i="17"/>
  <c r="L498" i="17"/>
  <c r="L504" i="17"/>
  <c r="L505" i="17"/>
  <c r="L513" i="17"/>
  <c r="L514" i="17"/>
  <c r="L521" i="17"/>
  <c r="L522" i="17"/>
  <c r="L540" i="17"/>
  <c r="L545" i="17"/>
  <c r="L546" i="17"/>
  <c r="L571" i="17"/>
  <c r="L597" i="17"/>
  <c r="L605" i="17"/>
  <c r="G605" i="17"/>
  <c r="H605" i="17"/>
  <c r="I605" i="17"/>
  <c r="J605" i="17"/>
  <c r="F605" i="17"/>
  <c r="L617" i="17"/>
  <c r="K605" i="17" l="1"/>
  <c r="L319" i="17"/>
  <c r="M490" i="17"/>
  <c r="N490" i="17" s="1"/>
  <c r="M346" i="17"/>
  <c r="N346" i="17" s="1"/>
  <c r="M514" i="17"/>
  <c r="N514" i="17" s="1"/>
  <c r="M334" i="17"/>
  <c r="N334" i="17" s="1"/>
  <c r="M356" i="17"/>
  <c r="N356" i="17" s="1"/>
  <c r="M336" i="17"/>
  <c r="M333" i="17"/>
  <c r="N333" i="17" s="1"/>
  <c r="M347" i="17"/>
  <c r="N347" i="17" s="1"/>
  <c r="M476" i="17"/>
  <c r="N476" i="17" s="1"/>
  <c r="L467" i="17"/>
  <c r="M468" i="17"/>
  <c r="N468" i="17" s="1"/>
  <c r="M504" i="17"/>
  <c r="N504" i="17" s="1"/>
  <c r="M355" i="17"/>
  <c r="N355" i="17" s="1"/>
  <c r="M513" i="17"/>
  <c r="N513" i="17" s="1"/>
  <c r="O605" i="17"/>
  <c r="P605" i="17" s="1"/>
  <c r="M605" i="17"/>
  <c r="N605" i="17" s="1"/>
  <c r="M498" i="17"/>
  <c r="N498" i="17" s="1"/>
  <c r="M484" i="17"/>
  <c r="N484" i="17" s="1"/>
  <c r="M483" i="17"/>
  <c r="N483" i="17" s="1"/>
  <c r="M477" i="17"/>
  <c r="N477" i="17" s="1"/>
  <c r="M335" i="17"/>
  <c r="N335" i="17" s="1"/>
  <c r="M505" i="17"/>
  <c r="N505" i="17" s="1"/>
  <c r="M497" i="17"/>
  <c r="N497" i="17" s="1"/>
  <c r="M469" i="17"/>
  <c r="N469" i="17" s="1"/>
  <c r="M491" i="17"/>
  <c r="N491" i="17" s="1"/>
  <c r="L317" i="17"/>
  <c r="L1970" i="17" s="1"/>
  <c r="L552" i="17"/>
  <c r="L465" i="17"/>
  <c r="L1971" i="17" s="1"/>
  <c r="L520" i="17"/>
  <c r="L475" i="17"/>
  <c r="L682" i="17"/>
  <c r="L683" i="17"/>
  <c r="L704" i="17"/>
  <c r="L706" i="17"/>
  <c r="L736" i="17"/>
  <c r="L759" i="17"/>
  <c r="L760" i="17"/>
  <c r="L797" i="17"/>
  <c r="L798" i="17"/>
  <c r="L852" i="17"/>
  <c r="L859" i="17"/>
  <c r="L864" i="17"/>
  <c r="L869" i="17"/>
  <c r="L703" i="17" l="1"/>
  <c r="L667" i="17"/>
  <c r="L858" i="17"/>
  <c r="L310" i="17"/>
  <c r="L730" i="17"/>
  <c r="L668" i="17"/>
  <c r="L459" i="17"/>
  <c r="L729" i="17"/>
  <c r="L316" i="17" l="1"/>
  <c r="L1935" i="17" s="1"/>
  <c r="L664" i="17"/>
  <c r="L1972" i="17" s="1"/>
  <c r="L464" i="17"/>
  <c r="L1936" i="17" s="1"/>
  <c r="L666" i="17"/>
  <c r="L850" i="17"/>
  <c r="L935" i="17"/>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F651" i="4"/>
  <c r="F650" i="4"/>
  <c r="F649" i="4"/>
  <c r="F648" i="4"/>
  <c r="F647" i="4"/>
  <c r="F646" i="4"/>
  <c r="F645" i="4"/>
  <c r="F644" i="4"/>
  <c r="F643" i="4"/>
  <c r="F642" i="4"/>
  <c r="F641" i="4"/>
  <c r="F640" i="4"/>
  <c r="F639" i="4"/>
  <c r="F638" i="4"/>
  <c r="F637" i="4"/>
  <c r="F636" i="4"/>
  <c r="F635" i="4"/>
  <c r="F634" i="4"/>
  <c r="F633" i="4"/>
  <c r="F632" i="4"/>
  <c r="F631" i="4"/>
  <c r="F630" i="4"/>
  <c r="F629" i="4"/>
  <c r="F628" i="4"/>
  <c r="F627" i="4"/>
  <c r="F626" i="4"/>
  <c r="F625" i="4"/>
  <c r="F624" i="4"/>
  <c r="F623" i="4"/>
  <c r="F622" i="4"/>
  <c r="F621" i="4"/>
  <c r="F620" i="4"/>
  <c r="F619" i="4"/>
  <c r="F618" i="4"/>
  <c r="F617" i="4"/>
  <c r="F616" i="4"/>
  <c r="F615" i="4"/>
  <c r="F614" i="4"/>
  <c r="F613" i="4"/>
  <c r="F612" i="4"/>
  <c r="F611" i="4"/>
  <c r="F610" i="4"/>
  <c r="F609" i="4"/>
  <c r="F608" i="4"/>
  <c r="F607" i="4"/>
  <c r="F606" i="4"/>
  <c r="F605" i="4"/>
  <c r="F604" i="4"/>
  <c r="F603" i="4"/>
  <c r="F602" i="4"/>
  <c r="F601" i="4"/>
  <c r="F600" i="4"/>
  <c r="F599" i="4"/>
  <c r="F598" i="4"/>
  <c r="F597" i="4"/>
  <c r="F596" i="4"/>
  <c r="F595" i="4"/>
  <c r="F594" i="4"/>
  <c r="F593" i="4"/>
  <c r="F592" i="4"/>
  <c r="F591" i="4"/>
  <c r="F590" i="4"/>
  <c r="F589" i="4"/>
  <c r="F588" i="4"/>
  <c r="F587" i="4"/>
  <c r="F586" i="4"/>
  <c r="F585" i="4"/>
  <c r="F584" i="4"/>
  <c r="F583" i="4"/>
  <c r="F582" i="4"/>
  <c r="F581" i="4"/>
  <c r="F580" i="4"/>
  <c r="F579" i="4"/>
  <c r="F578" i="4"/>
  <c r="F577" i="4"/>
  <c r="F576" i="4"/>
  <c r="F575" i="4"/>
  <c r="F574" i="4"/>
  <c r="F573" i="4"/>
  <c r="F572" i="4"/>
  <c r="F571" i="4"/>
  <c r="F570" i="4"/>
  <c r="F569" i="4"/>
  <c r="F568" i="4"/>
  <c r="F567" i="4"/>
  <c r="F566" i="4"/>
  <c r="F565" i="4"/>
  <c r="F564" i="4"/>
  <c r="F563" i="4"/>
  <c r="F562" i="4"/>
  <c r="F561" i="4"/>
  <c r="F560" i="4"/>
  <c r="F559" i="4"/>
  <c r="F558" i="4"/>
  <c r="F557" i="4"/>
  <c r="F556" i="4"/>
  <c r="F555" i="4"/>
  <c r="F554" i="4"/>
  <c r="F553" i="4"/>
  <c r="F552" i="4"/>
  <c r="F551" i="4"/>
  <c r="F550" i="4"/>
  <c r="F549" i="4"/>
  <c r="F548" i="4"/>
  <c r="F547" i="4"/>
  <c r="F546" i="4"/>
  <c r="F545" i="4"/>
  <c r="F544" i="4"/>
  <c r="F543" i="4"/>
  <c r="F542" i="4"/>
  <c r="F541" i="4"/>
  <c r="F540" i="4"/>
  <c r="F539" i="4"/>
  <c r="F538" i="4"/>
  <c r="F537" i="4"/>
  <c r="F536" i="4"/>
  <c r="F535" i="4"/>
  <c r="F534" i="4"/>
  <c r="F533" i="4"/>
  <c r="F532" i="4"/>
  <c r="F531" i="4"/>
  <c r="F530" i="4"/>
  <c r="F529" i="4"/>
  <c r="F528" i="4"/>
  <c r="F527" i="4"/>
  <c r="F526" i="4"/>
  <c r="F525" i="4"/>
  <c r="F524" i="4"/>
  <c r="F523" i="4"/>
  <c r="F522" i="4"/>
  <c r="F521" i="4"/>
  <c r="F520" i="4"/>
  <c r="F519" i="4"/>
  <c r="F518" i="4"/>
  <c r="F517" i="4"/>
  <c r="F516" i="4"/>
  <c r="F515" i="4"/>
  <c r="F514" i="4"/>
  <c r="F513" i="4"/>
  <c r="F512" i="4"/>
  <c r="F511" i="4"/>
  <c r="F510" i="4"/>
  <c r="F509" i="4"/>
  <c r="F508" i="4"/>
  <c r="F507" i="4"/>
  <c r="F506" i="4"/>
  <c r="F505" i="4"/>
  <c r="F504" i="4"/>
  <c r="F503" i="4"/>
  <c r="F502" i="4"/>
  <c r="F501" i="4"/>
  <c r="F500" i="4"/>
  <c r="F499" i="4"/>
  <c r="F498" i="4"/>
  <c r="F497" i="4"/>
  <c r="F496" i="4"/>
  <c r="F495" i="4"/>
  <c r="F494" i="4"/>
  <c r="F493" i="4"/>
  <c r="F492" i="4"/>
  <c r="F491" i="4"/>
  <c r="F490" i="4"/>
  <c r="F489" i="4"/>
  <c r="F488" i="4"/>
  <c r="F487" i="4"/>
  <c r="F486" i="4"/>
  <c r="F485" i="4"/>
  <c r="F484" i="4"/>
  <c r="F483" i="4"/>
  <c r="F482" i="4"/>
  <c r="F481" i="4"/>
  <c r="F480" i="4"/>
  <c r="F479" i="4"/>
  <c r="F478" i="4"/>
  <c r="F477" i="4"/>
  <c r="F476" i="4"/>
  <c r="F475" i="4"/>
  <c r="F474" i="4"/>
  <c r="F473" i="4"/>
  <c r="F472" i="4"/>
  <c r="F471" i="4"/>
  <c r="F470" i="4"/>
  <c r="F469" i="4"/>
  <c r="F468" i="4"/>
  <c r="F467" i="4"/>
  <c r="F466" i="4"/>
  <c r="F465" i="4"/>
  <c r="F464" i="4"/>
  <c r="F463" i="4"/>
  <c r="F462" i="4"/>
  <c r="F461" i="4"/>
  <c r="F460" i="4"/>
  <c r="F459" i="4"/>
  <c r="F458" i="4"/>
  <c r="F457" i="4"/>
  <c r="F456" i="4"/>
  <c r="F455" i="4"/>
  <c r="F454" i="4"/>
  <c r="F453" i="4"/>
  <c r="F452" i="4"/>
  <c r="F451" i="4"/>
  <c r="F450" i="4"/>
  <c r="F449" i="4"/>
  <c r="F448" i="4"/>
  <c r="F447" i="4"/>
  <c r="F446" i="4"/>
  <c r="F445" i="4"/>
  <c r="F444" i="4"/>
  <c r="F443" i="4"/>
  <c r="F442" i="4"/>
  <c r="F441" i="4"/>
  <c r="F440" i="4"/>
  <c r="F439" i="4"/>
  <c r="F438" i="4"/>
  <c r="F437" i="4"/>
  <c r="F436" i="4"/>
  <c r="F435" i="4"/>
  <c r="F434" i="4"/>
  <c r="F433" i="4"/>
  <c r="F432" i="4"/>
  <c r="F431" i="4"/>
  <c r="F430" i="4"/>
  <c r="F429" i="4"/>
  <c r="F428" i="4"/>
  <c r="F427" i="4"/>
  <c r="F426" i="4"/>
  <c r="F425" i="4"/>
  <c r="F424" i="4"/>
  <c r="F423" i="4"/>
  <c r="F422" i="4"/>
  <c r="F421" i="4"/>
  <c r="F420" i="4"/>
  <c r="F419" i="4"/>
  <c r="F418" i="4"/>
  <c r="F417" i="4"/>
  <c r="F416" i="4"/>
  <c r="F415" i="4"/>
  <c r="F414" i="4"/>
  <c r="F413" i="4"/>
  <c r="F412" i="4"/>
  <c r="F411" i="4"/>
  <c r="F410" i="4"/>
  <c r="F409" i="4"/>
  <c r="F408" i="4"/>
  <c r="F407" i="4"/>
  <c r="F406" i="4"/>
  <c r="F405" i="4"/>
  <c r="F404" i="4"/>
  <c r="F403" i="4"/>
  <c r="F402" i="4"/>
  <c r="F401" i="4"/>
  <c r="F400" i="4"/>
  <c r="F399" i="4"/>
  <c r="F398" i="4"/>
  <c r="F397" i="4"/>
  <c r="F396" i="4"/>
  <c r="F395" i="4"/>
  <c r="F394" i="4"/>
  <c r="F393" i="4"/>
  <c r="F392" i="4"/>
  <c r="F391" i="4"/>
  <c r="F390" i="4"/>
  <c r="F389" i="4"/>
  <c r="F388" i="4"/>
  <c r="F387" i="4"/>
  <c r="F386" i="4"/>
  <c r="F385" i="4"/>
  <c r="F384" i="4"/>
  <c r="F383" i="4"/>
  <c r="F382" i="4"/>
  <c r="F381" i="4"/>
  <c r="F380" i="4"/>
  <c r="F379" i="4"/>
  <c r="F378" i="4"/>
  <c r="F377" i="4"/>
  <c r="F376" i="4"/>
  <c r="F375" i="4"/>
  <c r="F374" i="4"/>
  <c r="F373" i="4"/>
  <c r="F372" i="4"/>
  <c r="F371" i="4"/>
  <c r="F370" i="4"/>
  <c r="F369" i="4"/>
  <c r="F368" i="4"/>
  <c r="F367" i="4"/>
  <c r="F366" i="4"/>
  <c r="F365" i="4"/>
  <c r="F364" i="4"/>
  <c r="F363" i="4"/>
  <c r="F362" i="4"/>
  <c r="F361" i="4"/>
  <c r="F360" i="4"/>
  <c r="F359" i="4"/>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L982" i="17"/>
  <c r="L1973" i="17" s="1"/>
  <c r="L985" i="17"/>
  <c r="L996" i="17"/>
  <c r="L1005" i="17"/>
  <c r="L1042" i="17"/>
  <c r="L1974" i="17" s="1"/>
  <c r="L1044" i="17"/>
  <c r="L1067" i="17"/>
  <c r="L1075" i="17"/>
  <c r="L1081" i="17"/>
  <c r="L1135" i="17"/>
  <c r="L1147" i="17"/>
  <c r="L1148" i="17"/>
  <c r="L1168" i="17"/>
  <c r="L1169" i="17"/>
  <c r="L1180" i="17"/>
  <c r="L1181" i="17"/>
  <c r="L1189" i="17"/>
  <c r="L1197" i="17"/>
  <c r="L1253" i="17"/>
  <c r="L1976" i="17" s="1"/>
  <c r="L1247" i="17"/>
  <c r="L1276" i="17"/>
  <c r="L1977" i="17" s="1"/>
  <c r="L1270" i="17"/>
  <c r="L1306" i="17"/>
  <c r="L1978" i="17" s="1"/>
  <c r="L1308" i="17"/>
  <c r="L1313" i="17"/>
  <c r="L1322" i="17"/>
  <c r="L1331" i="17"/>
  <c r="L1335" i="17"/>
  <c r="L1369" i="17"/>
  <c r="L1370" i="17"/>
  <c r="L1377" i="17"/>
  <c r="L1383" i="17"/>
  <c r="L1388" i="17"/>
  <c r="L1397" i="17"/>
  <c r="L1401" i="17"/>
  <c r="L1449" i="17"/>
  <c r="L1980" i="17" s="1"/>
  <c r="L1451" i="17"/>
  <c r="L1452" i="17"/>
  <c r="L1458" i="17"/>
  <c r="L1467" i="17"/>
  <c r="L1470" i="17"/>
  <c r="L1500" i="17"/>
  <c r="L1981" i="17" s="1"/>
  <c r="L1502" i="17"/>
  <c r="L1507" i="17"/>
  <c r="L1513" i="17"/>
  <c r="L1520" i="17"/>
  <c r="L1525" i="17"/>
  <c r="L1534" i="17"/>
  <c r="L1538" i="17"/>
  <c r="L1573" i="17"/>
  <c r="L1982" i="17" s="1"/>
  <c r="L1575" i="17"/>
  <c r="L1580" i="17"/>
  <c r="L1587" i="17"/>
  <c r="L1596" i="17"/>
  <c r="L1599" i="17"/>
  <c r="L1639" i="17"/>
  <c r="L1640" i="17"/>
  <c r="L1646" i="17"/>
  <c r="L1653" i="17"/>
  <c r="L1658" i="17"/>
  <c r="L1663" i="17"/>
  <c r="L1676" i="17"/>
  <c r="L1679" i="17"/>
  <c r="L1712" i="17"/>
  <c r="L1984" i="17" s="1"/>
  <c r="L1714" i="17"/>
  <c r="L1719" i="17"/>
  <c r="L1725" i="17"/>
  <c r="L1734" i="17"/>
  <c r="L1737" i="17"/>
  <c r="F1890" i="17"/>
  <c r="L1771" i="17"/>
  <c r="L1772" i="17"/>
  <c r="L1780" i="17"/>
  <c r="L1787" i="17"/>
  <c r="L1796" i="17"/>
  <c r="L1799" i="17"/>
  <c r="L1835" i="17"/>
  <c r="F1961" i="17"/>
  <c r="F1926" i="17"/>
  <c r="L1146" i="17" l="1"/>
  <c r="L1833" i="17"/>
  <c r="L1645" i="17"/>
  <c r="L1636" i="17"/>
  <c r="L1983" i="17" s="1"/>
  <c r="L1512" i="17"/>
  <c r="L925" i="17"/>
  <c r="M1961" i="17"/>
  <c r="L1638" i="17"/>
  <c r="L1506" i="17"/>
  <c r="L1252" i="17"/>
  <c r="L831" i="17"/>
  <c r="L1786" i="17"/>
  <c r="L1724" i="17"/>
  <c r="L1376" i="17"/>
  <c r="M1890" i="17"/>
  <c r="L1779" i="17"/>
  <c r="L1718" i="17"/>
  <c r="L1366" i="17"/>
  <c r="L1979" i="17" s="1"/>
  <c r="M1370" i="17"/>
  <c r="N1370" i="17" s="1"/>
  <c r="L1192" i="17"/>
  <c r="L1768" i="17"/>
  <c r="L1985" i="17" s="1"/>
  <c r="L1585" i="17"/>
  <c r="L1568" i="17" s="1"/>
  <c r="L1368" i="17"/>
  <c r="M1369" i="17"/>
  <c r="N1369" i="17" s="1"/>
  <c r="L1770" i="17"/>
  <c r="M1771" i="17"/>
  <c r="N1771" i="17" s="1"/>
  <c r="L1579" i="17"/>
  <c r="L312" i="17"/>
  <c r="L1457" i="17"/>
  <c r="M1926" i="17"/>
  <c r="L1321" i="17"/>
  <c r="L984" i="17"/>
  <c r="L461" i="17"/>
  <c r="L1312" i="17"/>
  <c r="L1303" i="17" s="1"/>
  <c r="L1133" i="17"/>
  <c r="L1975" i="17" s="1"/>
  <c r="L1275" i="17"/>
  <c r="L1944" i="17" s="1"/>
  <c r="L989" i="17"/>
  <c r="L1167" i="17"/>
  <c r="L1062" i="17"/>
  <c r="L1651" i="17"/>
  <c r="L1382" i="17"/>
  <c r="L1518" i="17"/>
  <c r="L1707" i="17" l="1"/>
  <c r="L1986" i="17"/>
  <c r="L1762" i="17"/>
  <c r="L1848" i="17"/>
  <c r="L1249" i="17"/>
  <c r="L1943" i="17"/>
  <c r="L1711" i="17"/>
  <c r="L1951" i="17" s="1"/>
  <c r="L1305" i="17"/>
  <c r="L1945" i="17" s="1"/>
  <c r="L1444" i="17"/>
  <c r="L829" i="17"/>
  <c r="L656" i="17" s="1"/>
  <c r="L1572" i="17"/>
  <c r="L1949" i="17" s="1"/>
  <c r="L1036" i="17"/>
  <c r="L976" i="17"/>
  <c r="L981" i="17" s="1"/>
  <c r="L1939" i="17" s="1"/>
  <c r="L1272" i="17"/>
  <c r="L1767" i="17"/>
  <c r="L1952" i="17" s="1"/>
  <c r="L1126" i="17"/>
  <c r="L1495" i="17"/>
  <c r="L1301" i="17"/>
  <c r="L1359" i="17"/>
  <c r="L1631" i="17"/>
  <c r="H10" i="12"/>
  <c r="H11" i="12"/>
  <c r="H12" i="12"/>
  <c r="H13" i="12"/>
  <c r="I13" i="12" s="1"/>
  <c r="H15" i="12"/>
  <c r="H16" i="12"/>
  <c r="H17" i="12"/>
  <c r="H18" i="12"/>
  <c r="I18" i="12" s="1"/>
  <c r="H19" i="12"/>
  <c r="I19" i="12" s="1"/>
  <c r="H20" i="12"/>
  <c r="H25" i="12"/>
  <c r="I25" i="12" s="1"/>
  <c r="H21" i="12"/>
  <c r="I21" i="12" s="1"/>
  <c r="H22" i="12"/>
  <c r="H23" i="12"/>
  <c r="H24" i="12"/>
  <c r="H26" i="12"/>
  <c r="H28" i="12"/>
  <c r="I28" i="12" s="1"/>
  <c r="H31" i="12"/>
  <c r="I31" i="12" s="1"/>
  <c r="H32" i="12"/>
  <c r="I32" i="12" s="1"/>
  <c r="H33" i="12"/>
  <c r="H34" i="12"/>
  <c r="H35" i="12"/>
  <c r="H36" i="12"/>
  <c r="H37" i="12"/>
  <c r="H38" i="12"/>
  <c r="H39" i="12"/>
  <c r="H42" i="12"/>
  <c r="H44" i="12"/>
  <c r="I44" i="12" s="1"/>
  <c r="H45" i="12"/>
  <c r="H47" i="12"/>
  <c r="I47" i="12" s="1"/>
  <c r="H48" i="12"/>
  <c r="H51" i="12"/>
  <c r="H53" i="12"/>
  <c r="I53" i="12" s="1"/>
  <c r="H54" i="12"/>
  <c r="I54" i="12" s="1"/>
  <c r="H55" i="12"/>
  <c r="I55" i="12" s="1"/>
  <c r="H56" i="12"/>
  <c r="I56" i="12" s="1"/>
  <c r="H57" i="12"/>
  <c r="I57" i="12" s="1"/>
  <c r="H58" i="12"/>
  <c r="I58" i="12" s="1"/>
  <c r="H60" i="12"/>
  <c r="I60" i="12" s="1"/>
  <c r="H61" i="12"/>
  <c r="I61" i="12" s="1"/>
  <c r="H62" i="12"/>
  <c r="I62" i="12" s="1"/>
  <c r="H63" i="12"/>
  <c r="H64" i="12"/>
  <c r="H65" i="12"/>
  <c r="H66" i="12"/>
  <c r="H67" i="12"/>
  <c r="H68" i="12"/>
  <c r="H69" i="12"/>
  <c r="H70" i="12"/>
  <c r="H72" i="12"/>
  <c r="I72" i="12" s="1"/>
  <c r="H73" i="12"/>
  <c r="H74" i="12"/>
  <c r="H76" i="12"/>
  <c r="I76" i="12" s="1"/>
  <c r="H77" i="12"/>
  <c r="I77" i="12" s="1"/>
  <c r="H78" i="12"/>
  <c r="I78" i="12" s="1"/>
  <c r="H79" i="12"/>
  <c r="H81" i="12"/>
  <c r="H82" i="12"/>
  <c r="H84" i="12"/>
  <c r="I84" i="12" s="1"/>
  <c r="H85" i="12"/>
  <c r="I85" i="12" s="1"/>
  <c r="H86" i="12"/>
  <c r="I86" i="12" s="1"/>
  <c r="H87" i="12"/>
  <c r="I87" i="12" s="1"/>
  <c r="H88" i="12"/>
  <c r="H89" i="12"/>
  <c r="H90" i="12"/>
  <c r="H91" i="12"/>
  <c r="H92" i="12"/>
  <c r="H94" i="12"/>
  <c r="I94" i="12" s="1"/>
  <c r="H95" i="12"/>
  <c r="I95" i="12" s="1"/>
  <c r="H96" i="12"/>
  <c r="H98" i="12"/>
  <c r="I98" i="12" s="1"/>
  <c r="H99" i="12"/>
  <c r="H101" i="12"/>
  <c r="H103" i="12"/>
  <c r="I103" i="12" s="1"/>
  <c r="H104" i="12"/>
  <c r="H105" i="12"/>
  <c r="H106" i="12"/>
  <c r="H107" i="12"/>
  <c r="H109" i="12"/>
  <c r="I109" i="12" s="1"/>
  <c r="H111" i="12"/>
  <c r="I111" i="12" s="1"/>
  <c r="H112" i="12"/>
  <c r="I112" i="12" s="1"/>
  <c r="H114" i="12"/>
  <c r="I114" i="12" s="1"/>
  <c r="H115" i="12"/>
  <c r="I115" i="12" s="1"/>
  <c r="H116" i="12"/>
  <c r="H117" i="12"/>
  <c r="H118" i="12"/>
  <c r="H119" i="12"/>
  <c r="H121" i="12"/>
  <c r="I121" i="12" s="1"/>
  <c r="H122" i="12"/>
  <c r="I122" i="12" s="1"/>
  <c r="H123" i="12"/>
  <c r="I123" i="12" s="1"/>
  <c r="H124" i="12"/>
  <c r="I124" i="12" s="1"/>
  <c r="H125" i="12"/>
  <c r="H127" i="12"/>
  <c r="I127" i="12" s="1"/>
  <c r="H128" i="12"/>
  <c r="H129" i="12"/>
  <c r="I129" i="12" s="1"/>
  <c r="H130" i="12"/>
  <c r="G172" i="4"/>
  <c r="E375" i="4"/>
  <c r="D375" i="4"/>
  <c r="K792" i="4"/>
  <c r="H792" i="4"/>
  <c r="K791" i="4"/>
  <c r="H791" i="4"/>
  <c r="K789" i="4"/>
  <c r="H789" i="4"/>
  <c r="H788" i="4"/>
  <c r="I788" i="4" s="1"/>
  <c r="H786" i="4"/>
  <c r="I786" i="4" s="1"/>
  <c r="H785" i="4"/>
  <c r="I785" i="4" s="1"/>
  <c r="K782" i="4"/>
  <c r="H782" i="4"/>
  <c r="H781" i="4"/>
  <c r="I781" i="4" s="1"/>
  <c r="H780" i="4"/>
  <c r="I780" i="4" s="1"/>
  <c r="H778" i="4"/>
  <c r="I778" i="4" s="1"/>
  <c r="H777" i="4"/>
  <c r="I777" i="4" s="1"/>
  <c r="K774" i="4"/>
  <c r="H774" i="4"/>
  <c r="H773" i="4"/>
  <c r="I773" i="4" s="1"/>
  <c r="H771" i="4"/>
  <c r="I771" i="4" s="1"/>
  <c r="H770" i="4"/>
  <c r="I770" i="4" s="1"/>
  <c r="K767" i="4"/>
  <c r="H767" i="4"/>
  <c r="H766" i="4"/>
  <c r="I766" i="4" s="1"/>
  <c r="H765" i="4"/>
  <c r="I765" i="4" s="1"/>
  <c r="K762" i="4"/>
  <c r="H762" i="4"/>
  <c r="H761" i="4"/>
  <c r="I761" i="4" s="1"/>
  <c r="H760" i="4"/>
  <c r="I760" i="4" s="1"/>
  <c r="H758" i="4"/>
  <c r="I758" i="4" s="1"/>
  <c r="H757" i="4"/>
  <c r="I757" i="4" s="1"/>
  <c r="H756" i="4"/>
  <c r="I756" i="4" s="1"/>
  <c r="H753" i="4"/>
  <c r="I753" i="4" s="1"/>
  <c r="K747" i="4"/>
  <c r="H747" i="4"/>
  <c r="K745" i="4"/>
  <c r="H745" i="4"/>
  <c r="H744" i="4"/>
  <c r="I744" i="4" s="1"/>
  <c r="H743" i="4"/>
  <c r="I743" i="4" s="1"/>
  <c r="H742" i="4"/>
  <c r="I742" i="4" s="1"/>
  <c r="H741" i="4"/>
  <c r="I741" i="4" s="1"/>
  <c r="H739" i="4"/>
  <c r="I739" i="4" s="1"/>
  <c r="H737" i="4"/>
  <c r="I737" i="4" s="1"/>
  <c r="H736" i="4"/>
  <c r="I736" i="4" s="1"/>
  <c r="H735" i="4"/>
  <c r="I735" i="4" s="1"/>
  <c r="H734" i="4"/>
  <c r="I734" i="4" s="1"/>
  <c r="H733" i="4"/>
  <c r="I733" i="4" s="1"/>
  <c r="K730" i="4"/>
  <c r="H730" i="4"/>
  <c r="H729" i="4"/>
  <c r="H728" i="4"/>
  <c r="I728" i="4" s="1"/>
  <c r="H727" i="4"/>
  <c r="I727" i="4" s="1"/>
  <c r="H725" i="4"/>
  <c r="I725" i="4" s="1"/>
  <c r="K723" i="4"/>
  <c r="H723" i="4"/>
  <c r="I723" i="4" s="1"/>
  <c r="H722" i="4"/>
  <c r="I722" i="4" s="1"/>
  <c r="H721" i="4"/>
  <c r="I721" i="4" s="1"/>
  <c r="H720" i="4"/>
  <c r="I720" i="4" s="1"/>
  <c r="K717" i="4"/>
  <c r="H717" i="4"/>
  <c r="K715" i="4"/>
  <c r="H715" i="4"/>
  <c r="H714" i="4"/>
  <c r="I714" i="4" s="1"/>
  <c r="H713" i="4"/>
  <c r="I713" i="4" s="1"/>
  <c r="H711" i="4"/>
  <c r="I711" i="4" s="1"/>
  <c r="H710" i="4"/>
  <c r="I710" i="4" s="1"/>
  <c r="H708" i="4"/>
  <c r="I708" i="4" s="1"/>
  <c r="H707" i="4"/>
  <c r="I707" i="4" s="1"/>
  <c r="H706" i="4"/>
  <c r="I706" i="4" s="1"/>
  <c r="K703" i="4"/>
  <c r="H703" i="4"/>
  <c r="H702" i="4"/>
  <c r="I702" i="4" s="1"/>
  <c r="H701" i="4"/>
  <c r="I701" i="4" s="1"/>
  <c r="H700" i="4"/>
  <c r="I700" i="4" s="1"/>
  <c r="H698" i="4"/>
  <c r="I698" i="4" s="1"/>
  <c r="H697" i="4"/>
  <c r="I697" i="4" s="1"/>
  <c r="H696" i="4"/>
  <c r="I696" i="4" s="1"/>
  <c r="K693" i="4"/>
  <c r="H693" i="4"/>
  <c r="H692" i="4"/>
  <c r="I692" i="4" s="1"/>
  <c r="H691" i="4"/>
  <c r="I691" i="4" s="1"/>
  <c r="H689" i="4"/>
  <c r="I689" i="4" s="1"/>
  <c r="H688" i="4"/>
  <c r="I688" i="4" s="1"/>
  <c r="H686" i="4"/>
  <c r="I686" i="4" s="1"/>
  <c r="K683" i="4"/>
  <c r="H683" i="4"/>
  <c r="H682" i="4"/>
  <c r="I682" i="4" s="1"/>
  <c r="H681" i="4"/>
  <c r="I681" i="4" s="1"/>
  <c r="H680" i="4"/>
  <c r="I680" i="4" s="1"/>
  <c r="H678" i="4"/>
  <c r="I678" i="4" s="1"/>
  <c r="H676" i="4"/>
  <c r="I676" i="4" s="1"/>
  <c r="H675" i="4"/>
  <c r="I675" i="4" s="1"/>
  <c r="H673" i="4"/>
  <c r="I673" i="4" s="1"/>
  <c r="H672" i="4"/>
  <c r="I672" i="4" s="1"/>
  <c r="H670" i="4"/>
  <c r="I670" i="4" s="1"/>
  <c r="H668" i="4"/>
  <c r="I668" i="4" s="1"/>
  <c r="K665" i="4"/>
  <c r="H665" i="4"/>
  <c r="K663" i="4"/>
  <c r="H663" i="4"/>
  <c r="H662" i="4"/>
  <c r="I662" i="4" s="1"/>
  <c r="H661" i="4"/>
  <c r="I661" i="4" s="1"/>
  <c r="H660" i="4"/>
  <c r="I660" i="4" s="1"/>
  <c r="H659" i="4"/>
  <c r="I659" i="4" s="1"/>
  <c r="H658" i="4"/>
  <c r="I658" i="4" s="1"/>
  <c r="H657" i="4"/>
  <c r="I657" i="4" s="1"/>
  <c r="K654" i="4"/>
  <c r="H654" i="4"/>
  <c r="K653" i="4"/>
  <c r="H653" i="4"/>
  <c r="K652" i="4"/>
  <c r="H652" i="4"/>
  <c r="H651" i="4"/>
  <c r="I651" i="4" s="1"/>
  <c r="H650" i="4"/>
  <c r="I650" i="4" s="1"/>
  <c r="H648" i="4"/>
  <c r="I648" i="4" s="1"/>
  <c r="H647" i="4"/>
  <c r="I647" i="4" s="1"/>
  <c r="H645" i="4"/>
  <c r="I645" i="4" s="1"/>
  <c r="H644" i="4"/>
  <c r="I644" i="4" s="1"/>
  <c r="H643" i="4"/>
  <c r="I643" i="4" s="1"/>
  <c r="H642" i="4"/>
  <c r="I642" i="4" s="1"/>
  <c r="H641" i="4"/>
  <c r="I641" i="4" s="1"/>
  <c r="K638" i="4"/>
  <c r="H638" i="4"/>
  <c r="H637" i="4"/>
  <c r="I637" i="4" s="1"/>
  <c r="H636" i="4"/>
  <c r="I636" i="4" s="1"/>
  <c r="H634" i="4"/>
  <c r="I634" i="4" s="1"/>
  <c r="H633" i="4"/>
  <c r="I633" i="4" s="1"/>
  <c r="H631" i="4"/>
  <c r="I631" i="4" s="1"/>
  <c r="H630" i="4"/>
  <c r="I630" i="4" s="1"/>
  <c r="H628" i="4"/>
  <c r="I628" i="4" s="1"/>
  <c r="H627" i="4"/>
  <c r="I627" i="4" s="1"/>
  <c r="H625" i="4"/>
  <c r="K622" i="4"/>
  <c r="H622" i="4"/>
  <c r="K620" i="4"/>
  <c r="H620" i="4"/>
  <c r="H619" i="4"/>
  <c r="I619" i="4" s="1"/>
  <c r="H617" i="4"/>
  <c r="H616" i="4"/>
  <c r="I616" i="4" s="1"/>
  <c r="H615" i="4"/>
  <c r="I615" i="4" s="1"/>
  <c r="K612" i="4"/>
  <c r="H612" i="4"/>
  <c r="H611" i="4"/>
  <c r="I611" i="4" s="1"/>
  <c r="H609" i="4"/>
  <c r="I609" i="4" s="1"/>
  <c r="H608" i="4"/>
  <c r="I608" i="4" s="1"/>
  <c r="K605" i="4"/>
  <c r="H605" i="4"/>
  <c r="H604" i="4"/>
  <c r="I604" i="4" s="1"/>
  <c r="H603" i="4"/>
  <c r="I603" i="4" s="1"/>
  <c r="H602" i="4"/>
  <c r="I602" i="4" s="1"/>
  <c r="K599" i="4"/>
  <c r="H599" i="4"/>
  <c r="H598" i="4"/>
  <c r="I598" i="4" s="1"/>
  <c r="H597" i="4"/>
  <c r="I597" i="4" s="1"/>
  <c r="H596" i="4"/>
  <c r="I596" i="4" s="1"/>
  <c r="K593" i="4"/>
  <c r="H593" i="4"/>
  <c r="H592" i="4"/>
  <c r="I592" i="4" s="1"/>
  <c r="H591" i="4"/>
  <c r="I591" i="4" s="1"/>
  <c r="H589" i="4"/>
  <c r="I589" i="4" s="1"/>
  <c r="H588" i="4"/>
  <c r="I588" i="4" s="1"/>
  <c r="H587" i="4"/>
  <c r="I587" i="4" s="1"/>
  <c r="K584" i="4"/>
  <c r="H584" i="4"/>
  <c r="H583" i="4"/>
  <c r="I583" i="4" s="1"/>
  <c r="H582" i="4"/>
  <c r="I582" i="4" s="1"/>
  <c r="H580" i="4"/>
  <c r="I580" i="4" s="1"/>
  <c r="K577" i="4"/>
  <c r="H577" i="4"/>
  <c r="H576" i="4"/>
  <c r="I576" i="4" s="1"/>
  <c r="H575" i="4"/>
  <c r="I575" i="4" s="1"/>
  <c r="H573" i="4"/>
  <c r="H572" i="4"/>
  <c r="I572" i="4" s="1"/>
  <c r="H571" i="4"/>
  <c r="I571" i="4" s="1"/>
  <c r="H569" i="4"/>
  <c r="I569" i="4" s="1"/>
  <c r="H568" i="4"/>
  <c r="I568" i="4" s="1"/>
  <c r="H567" i="4"/>
  <c r="I567" i="4" s="1"/>
  <c r="H565" i="4"/>
  <c r="I565" i="4" s="1"/>
  <c r="H564" i="4"/>
  <c r="I564" i="4" s="1"/>
  <c r="K561" i="4"/>
  <c r="H561" i="4"/>
  <c r="K559" i="4"/>
  <c r="H559" i="4"/>
  <c r="H558" i="4"/>
  <c r="I558" i="4" s="1"/>
  <c r="H557" i="4"/>
  <c r="I557" i="4" s="1"/>
  <c r="H556" i="4"/>
  <c r="I556" i="4" s="1"/>
  <c r="H554" i="4"/>
  <c r="I554" i="4" s="1"/>
  <c r="H553" i="4"/>
  <c r="I553" i="4" s="1"/>
  <c r="K550" i="4"/>
  <c r="H550" i="4"/>
  <c r="H549" i="4"/>
  <c r="I549" i="4" s="1"/>
  <c r="H548" i="4"/>
  <c r="I548" i="4" s="1"/>
  <c r="H546" i="4"/>
  <c r="I546" i="4" s="1"/>
  <c r="H545" i="4"/>
  <c r="I545" i="4" s="1"/>
  <c r="K543" i="4"/>
  <c r="H543" i="4"/>
  <c r="I543" i="4" s="1"/>
  <c r="H542" i="4"/>
  <c r="I542" i="4" s="1"/>
  <c r="H541" i="4"/>
  <c r="I541" i="4" s="1"/>
  <c r="H539" i="4"/>
  <c r="I539" i="4" s="1"/>
  <c r="H538" i="4"/>
  <c r="I538" i="4" s="1"/>
  <c r="K535" i="4"/>
  <c r="H535" i="4"/>
  <c r="K533" i="4"/>
  <c r="H533" i="4"/>
  <c r="K532" i="4"/>
  <c r="H532" i="4"/>
  <c r="I532" i="4" s="1"/>
  <c r="H531" i="4"/>
  <c r="I531" i="4" s="1"/>
  <c r="H530" i="4"/>
  <c r="I530" i="4" s="1"/>
  <c r="K528" i="4"/>
  <c r="H528" i="4"/>
  <c r="I528" i="4" s="1"/>
  <c r="H527" i="4"/>
  <c r="I527" i="4" s="1"/>
  <c r="H526" i="4"/>
  <c r="I526" i="4" s="1"/>
  <c r="H525" i="4"/>
  <c r="I525" i="4" s="1"/>
  <c r="K522" i="4"/>
  <c r="H522" i="4"/>
  <c r="H521" i="4"/>
  <c r="I521" i="4" s="1"/>
  <c r="H519" i="4"/>
  <c r="I519" i="4" s="1"/>
  <c r="H518" i="4"/>
  <c r="I518" i="4" s="1"/>
  <c r="K515" i="4"/>
  <c r="H515" i="4"/>
  <c r="H514" i="4"/>
  <c r="I514" i="4" s="1"/>
  <c r="H513" i="4"/>
  <c r="I513" i="4" s="1"/>
  <c r="H512" i="4"/>
  <c r="I512" i="4" s="1"/>
  <c r="H511" i="4"/>
  <c r="I511" i="4" s="1"/>
  <c r="H510" i="4"/>
  <c r="I510" i="4" s="1"/>
  <c r="K507" i="4"/>
  <c r="H507" i="4"/>
  <c r="H506" i="4"/>
  <c r="I506" i="4" s="1"/>
  <c r="H503" i="4"/>
  <c r="I503" i="4" s="1"/>
  <c r="H502" i="4"/>
  <c r="I502" i="4" s="1"/>
  <c r="H500" i="4"/>
  <c r="I500" i="4" s="1"/>
  <c r="H499" i="4"/>
  <c r="I499" i="4" s="1"/>
  <c r="H498" i="4"/>
  <c r="I498" i="4" s="1"/>
  <c r="H496" i="4"/>
  <c r="I496" i="4" s="1"/>
  <c r="H495" i="4"/>
  <c r="I495" i="4" s="1"/>
  <c r="K492" i="4"/>
  <c r="H492" i="4"/>
  <c r="K490" i="4"/>
  <c r="H490" i="4"/>
  <c r="H489" i="4"/>
  <c r="I489" i="4" s="1"/>
  <c r="H487" i="4"/>
  <c r="I487" i="4" s="1"/>
  <c r="H486" i="4"/>
  <c r="I486" i="4" s="1"/>
  <c r="H485" i="4"/>
  <c r="I485" i="4" s="1"/>
  <c r="K482" i="4"/>
  <c r="H482" i="4"/>
  <c r="K476" i="4"/>
  <c r="H476" i="4"/>
  <c r="H472" i="4"/>
  <c r="I472" i="4" s="1"/>
  <c r="K462" i="4"/>
  <c r="H462" i="4"/>
  <c r="K460" i="4"/>
  <c r="H460" i="4"/>
  <c r="H459" i="4"/>
  <c r="I459" i="4" s="1"/>
  <c r="H457" i="4"/>
  <c r="I457" i="4" s="1"/>
  <c r="H456" i="4"/>
  <c r="I456" i="4" s="1"/>
  <c r="K453" i="4"/>
  <c r="H453" i="4"/>
  <c r="H452" i="4"/>
  <c r="I452" i="4" s="1"/>
  <c r="H450" i="4"/>
  <c r="I450" i="4" s="1"/>
  <c r="K447" i="4"/>
  <c r="H447" i="4"/>
  <c r="H446" i="4"/>
  <c r="I446" i="4" s="1"/>
  <c r="H445" i="4"/>
  <c r="I445" i="4" s="1"/>
  <c r="K443" i="4"/>
  <c r="H443" i="4"/>
  <c r="I443" i="4" s="1"/>
  <c r="H442" i="4"/>
  <c r="I442" i="4" s="1"/>
  <c r="H440" i="4"/>
  <c r="H439" i="4"/>
  <c r="I439" i="4" s="1"/>
  <c r="K436" i="4"/>
  <c r="H436" i="4"/>
  <c r="H435" i="4"/>
  <c r="I435" i="4" s="1"/>
  <c r="H434" i="4"/>
  <c r="I434" i="4" s="1"/>
  <c r="H432" i="4"/>
  <c r="I432" i="4" s="1"/>
  <c r="H431" i="4"/>
  <c r="I431" i="4" s="1"/>
  <c r="H430" i="4"/>
  <c r="I430" i="4" s="1"/>
  <c r="K427" i="4"/>
  <c r="H427" i="4"/>
  <c r="H426" i="4"/>
  <c r="I426" i="4" s="1"/>
  <c r="H425" i="4"/>
  <c r="I425" i="4" s="1"/>
  <c r="H423" i="4"/>
  <c r="I423" i="4" s="1"/>
  <c r="H421" i="4"/>
  <c r="I421" i="4" s="1"/>
  <c r="H420" i="4"/>
  <c r="I420" i="4" s="1"/>
  <c r="H418" i="4"/>
  <c r="I418" i="4" s="1"/>
  <c r="H417" i="4"/>
  <c r="I417" i="4" s="1"/>
  <c r="H416" i="4"/>
  <c r="I416" i="4" s="1"/>
  <c r="K412" i="4"/>
  <c r="H412" i="4"/>
  <c r="H411" i="4"/>
  <c r="I411" i="4" s="1"/>
  <c r="H409" i="4"/>
  <c r="I409" i="4" s="1"/>
  <c r="H407" i="4"/>
  <c r="I407" i="4" s="1"/>
  <c r="H406" i="4"/>
  <c r="I406" i="4" s="1"/>
  <c r="H405" i="4"/>
  <c r="I405" i="4" s="1"/>
  <c r="H403" i="4"/>
  <c r="I403" i="4" s="1"/>
  <c r="K400" i="4"/>
  <c r="H400" i="4"/>
  <c r="K398" i="4"/>
  <c r="H398" i="4"/>
  <c r="H397" i="4"/>
  <c r="I397" i="4" s="1"/>
  <c r="H394" i="4"/>
  <c r="I394" i="4" s="1"/>
  <c r="H393" i="4"/>
  <c r="I393" i="4" s="1"/>
  <c r="K390" i="4"/>
  <c r="H390" i="4"/>
  <c r="H389" i="4"/>
  <c r="I389" i="4" s="1"/>
  <c r="H386" i="4"/>
  <c r="I386" i="4" s="1"/>
  <c r="H385" i="4"/>
  <c r="I385" i="4" s="1"/>
  <c r="H383" i="4"/>
  <c r="I383" i="4" s="1"/>
  <c r="H381" i="4"/>
  <c r="I381" i="4" s="1"/>
  <c r="K378" i="4"/>
  <c r="H378" i="4"/>
  <c r="K377" i="4"/>
  <c r="H377" i="4"/>
  <c r="H376" i="4"/>
  <c r="I376" i="4" s="1"/>
  <c r="K373" i="4"/>
  <c r="H373" i="4"/>
  <c r="H372" i="4"/>
  <c r="I372" i="4" s="1"/>
  <c r="H371" i="4"/>
  <c r="I371" i="4" s="1"/>
  <c r="H370" i="4"/>
  <c r="I370" i="4" s="1"/>
  <c r="K367" i="4"/>
  <c r="H367" i="4"/>
  <c r="H366" i="4"/>
  <c r="I366" i="4" s="1"/>
  <c r="H364" i="4"/>
  <c r="I364" i="4" s="1"/>
  <c r="H363" i="4"/>
  <c r="I363" i="4" s="1"/>
  <c r="H362" i="4"/>
  <c r="I362" i="4" s="1"/>
  <c r="K359" i="4"/>
  <c r="H359" i="4"/>
  <c r="H358" i="4"/>
  <c r="I358" i="4" s="1"/>
  <c r="H356" i="4"/>
  <c r="I356" i="4" s="1"/>
  <c r="H355" i="4"/>
  <c r="I355" i="4" s="1"/>
  <c r="K353" i="4"/>
  <c r="H353" i="4"/>
  <c r="K352" i="4"/>
  <c r="H352" i="4"/>
  <c r="H351" i="4"/>
  <c r="I351" i="4" s="1"/>
  <c r="H350" i="4"/>
  <c r="I350" i="4" s="1"/>
  <c r="H349" i="4"/>
  <c r="I349" i="4" s="1"/>
  <c r="H348" i="4"/>
  <c r="I348" i="4" s="1"/>
  <c r="K345" i="4"/>
  <c r="H345" i="4"/>
  <c r="H344" i="4"/>
  <c r="I344" i="4" s="1"/>
  <c r="K342" i="4"/>
  <c r="H342" i="4"/>
  <c r="K341" i="4"/>
  <c r="H341" i="4"/>
  <c r="K340" i="4"/>
  <c r="H340" i="4"/>
  <c r="K339" i="4"/>
  <c r="H339" i="4"/>
  <c r="H338" i="4"/>
  <c r="H337" i="4"/>
  <c r="I337" i="4" s="1"/>
  <c r="H336" i="4"/>
  <c r="I336" i="4" s="1"/>
  <c r="H334" i="4"/>
  <c r="H333" i="4"/>
  <c r="I333" i="4" s="1"/>
  <c r="K330" i="4"/>
  <c r="H330" i="4"/>
  <c r="H329" i="4"/>
  <c r="H327" i="4"/>
  <c r="I327" i="4" s="1"/>
  <c r="H326" i="4"/>
  <c r="I326" i="4" s="1"/>
  <c r="H324" i="4"/>
  <c r="I324" i="4" s="1"/>
  <c r="H322" i="4"/>
  <c r="I322" i="4" s="1"/>
  <c r="H320" i="4"/>
  <c r="I320" i="4" s="1"/>
  <c r="H319" i="4"/>
  <c r="I319" i="4" s="1"/>
  <c r="H318" i="4"/>
  <c r="I318" i="4" s="1"/>
  <c r="H317" i="4"/>
  <c r="I317" i="4" s="1"/>
  <c r="H316" i="4"/>
  <c r="I316" i="4" s="1"/>
  <c r="K313" i="4"/>
  <c r="H313" i="4"/>
  <c r="H312" i="4"/>
  <c r="H310" i="4"/>
  <c r="H308" i="4"/>
  <c r="H307" i="4"/>
  <c r="I307" i="4" s="1"/>
  <c r="H306" i="4"/>
  <c r="I306" i="4" s="1"/>
  <c r="H305" i="4"/>
  <c r="I305" i="4" s="1"/>
  <c r="H304" i="4"/>
  <c r="I304" i="4" s="1"/>
  <c r="K301" i="4"/>
  <c r="H301" i="4"/>
  <c r="H300" i="4"/>
  <c r="I300" i="4" s="1"/>
  <c r="H299" i="4"/>
  <c r="I299" i="4" s="1"/>
  <c r="K297" i="4"/>
  <c r="H297" i="4"/>
  <c r="K296" i="4"/>
  <c r="H296" i="4"/>
  <c r="H295" i="4"/>
  <c r="I295" i="4" s="1"/>
  <c r="H294" i="4"/>
  <c r="I294" i="4" s="1"/>
  <c r="H293" i="4"/>
  <c r="I293" i="4" s="1"/>
  <c r="H292" i="4"/>
  <c r="I292" i="4" s="1"/>
  <c r="H291" i="4"/>
  <c r="I291" i="4" s="1"/>
  <c r="K288" i="4"/>
  <c r="H288" i="4"/>
  <c r="H287" i="4"/>
  <c r="I287" i="4" s="1"/>
  <c r="K286" i="4"/>
  <c r="H286" i="4"/>
  <c r="I286" i="4" s="1"/>
  <c r="K284" i="4"/>
  <c r="J284" i="4"/>
  <c r="H284" i="4"/>
  <c r="K283" i="4"/>
  <c r="H283" i="4"/>
  <c r="K282" i="4"/>
  <c r="H282" i="4"/>
  <c r="K281" i="4"/>
  <c r="H281" i="4"/>
  <c r="I281" i="4" s="1"/>
  <c r="K278" i="4"/>
  <c r="H278" i="4"/>
  <c r="K276" i="4"/>
  <c r="H276" i="4"/>
  <c r="H275" i="4"/>
  <c r="I275" i="4" s="1"/>
  <c r="H273" i="4"/>
  <c r="I273" i="4" s="1"/>
  <c r="H272" i="4"/>
  <c r="I272" i="4" s="1"/>
  <c r="H270" i="4"/>
  <c r="I270" i="4" s="1"/>
  <c r="H269" i="4"/>
  <c r="I269" i="4" s="1"/>
  <c r="H268" i="4"/>
  <c r="I268" i="4" s="1"/>
  <c r="K265" i="4"/>
  <c r="H265" i="4"/>
  <c r="H264" i="4"/>
  <c r="I264" i="4" s="1"/>
  <c r="K261" i="4"/>
  <c r="H261" i="4"/>
  <c r="H260" i="4"/>
  <c r="I260" i="4" s="1"/>
  <c r="H258" i="4"/>
  <c r="I258" i="4" s="1"/>
  <c r="H257" i="4"/>
  <c r="I257" i="4" s="1"/>
  <c r="H255" i="4"/>
  <c r="I255" i="4" s="1"/>
  <c r="H254" i="4"/>
  <c r="I254" i="4" s="1"/>
  <c r="H253" i="4"/>
  <c r="I253" i="4" s="1"/>
  <c r="K250" i="4"/>
  <c r="H250" i="4"/>
  <c r="J249" i="4"/>
  <c r="K249" i="4" s="1"/>
  <c r="H249" i="4"/>
  <c r="I249" i="4" s="1"/>
  <c r="J247" i="4"/>
  <c r="K247" i="4" s="1"/>
  <c r="H247" i="4"/>
  <c r="I247" i="4" s="1"/>
  <c r="J246" i="4"/>
  <c r="K246" i="4" s="1"/>
  <c r="H246" i="4"/>
  <c r="I246" i="4" s="1"/>
  <c r="J244" i="4"/>
  <c r="K244" i="4" s="1"/>
  <c r="H244" i="4"/>
  <c r="I244" i="4" s="1"/>
  <c r="J243" i="4"/>
  <c r="K243" i="4" s="1"/>
  <c r="H243" i="4"/>
  <c r="I243" i="4" s="1"/>
  <c r="J242" i="4"/>
  <c r="K242" i="4" s="1"/>
  <c r="H242" i="4"/>
  <c r="I242" i="4" s="1"/>
  <c r="K239" i="4"/>
  <c r="H239" i="4"/>
  <c r="H238" i="4"/>
  <c r="I238" i="4" s="1"/>
  <c r="H236" i="4"/>
  <c r="I236" i="4" s="1"/>
  <c r="H235" i="4"/>
  <c r="I235" i="4" s="1"/>
  <c r="H233" i="4"/>
  <c r="I233" i="4" s="1"/>
  <c r="H232" i="4"/>
  <c r="I232" i="4" s="1"/>
  <c r="H231" i="4"/>
  <c r="I231" i="4" s="1"/>
  <c r="K228" i="4"/>
  <c r="H228" i="4"/>
  <c r="J227" i="4"/>
  <c r="K227" i="4" s="1"/>
  <c r="H227" i="4"/>
  <c r="I227" i="4" s="1"/>
  <c r="J225" i="4"/>
  <c r="K225" i="4" s="1"/>
  <c r="H225" i="4"/>
  <c r="I225" i="4" s="1"/>
  <c r="J223" i="4"/>
  <c r="K223" i="4" s="1"/>
  <c r="H223" i="4"/>
  <c r="I223" i="4" s="1"/>
  <c r="J222" i="4"/>
  <c r="K222" i="4" s="1"/>
  <c r="H222" i="4"/>
  <c r="I222" i="4" s="1"/>
  <c r="J220" i="4"/>
  <c r="K220" i="4" s="1"/>
  <c r="H220" i="4"/>
  <c r="I220" i="4" s="1"/>
  <c r="J219" i="4"/>
  <c r="K219" i="4" s="1"/>
  <c r="H219" i="4"/>
  <c r="I219" i="4" s="1"/>
  <c r="J218" i="4"/>
  <c r="K218" i="4" s="1"/>
  <c r="H218" i="4"/>
  <c r="I218" i="4" s="1"/>
  <c r="K215" i="4"/>
  <c r="H215" i="4"/>
  <c r="K214" i="4"/>
  <c r="H214" i="4"/>
  <c r="I214" i="4" s="1"/>
  <c r="K213" i="4"/>
  <c r="H212" i="4"/>
  <c r="I212" i="4" s="1"/>
  <c r="H211" i="4"/>
  <c r="I211" i="4" s="1"/>
  <c r="H209" i="4"/>
  <c r="I209" i="4" s="1"/>
  <c r="H208" i="4"/>
  <c r="I208" i="4" s="1"/>
  <c r="H207" i="4"/>
  <c r="I207" i="4" s="1"/>
  <c r="K204" i="4"/>
  <c r="H204" i="4"/>
  <c r="H203" i="4"/>
  <c r="I203" i="4" s="1"/>
  <c r="H202" i="4"/>
  <c r="I202" i="4" s="1"/>
  <c r="H200" i="4"/>
  <c r="I200" i="4" s="1"/>
  <c r="H199" i="4"/>
  <c r="I199" i="4" s="1"/>
  <c r="H198" i="4"/>
  <c r="I198" i="4" s="1"/>
  <c r="H197" i="4"/>
  <c r="I197" i="4" s="1"/>
  <c r="K194" i="4"/>
  <c r="H194" i="4"/>
  <c r="H193" i="4"/>
  <c r="I193" i="4" s="1"/>
  <c r="H191" i="4"/>
  <c r="I191" i="4" s="1"/>
  <c r="H190" i="4"/>
  <c r="I190" i="4" s="1"/>
  <c r="H189" i="4"/>
  <c r="I189" i="4" s="1"/>
  <c r="H188" i="4"/>
  <c r="I188" i="4" s="1"/>
  <c r="K185" i="4"/>
  <c r="H185" i="4"/>
  <c r="J184" i="4"/>
  <c r="K184" i="4" s="1"/>
  <c r="H184" i="4"/>
  <c r="I184" i="4" s="1"/>
  <c r="H182" i="4"/>
  <c r="I182" i="4" s="1"/>
  <c r="H181" i="4"/>
  <c r="I181" i="4" s="1"/>
  <c r="J180" i="4"/>
  <c r="K180" i="4" s="1"/>
  <c r="H180" i="4"/>
  <c r="I180" i="4" s="1"/>
  <c r="J179" i="4"/>
  <c r="K179" i="4" s="1"/>
  <c r="H179" i="4"/>
  <c r="I179" i="4" s="1"/>
  <c r="K176" i="4"/>
  <c r="H176" i="4"/>
  <c r="J175" i="4"/>
  <c r="K175" i="4" s="1"/>
  <c r="H175" i="4"/>
  <c r="I175" i="4" s="1"/>
  <c r="H173" i="4"/>
  <c r="I173" i="4" s="1"/>
  <c r="K171" i="4"/>
  <c r="J171" i="4"/>
  <c r="H171" i="4"/>
  <c r="H170" i="4"/>
  <c r="I170" i="4" s="1"/>
  <c r="J169" i="4"/>
  <c r="K169" i="4" s="1"/>
  <c r="H169" i="4"/>
  <c r="I169" i="4" s="1"/>
  <c r="J168" i="4"/>
  <c r="K168" i="4" s="1"/>
  <c r="H168" i="4"/>
  <c r="I168" i="4" s="1"/>
  <c r="K165" i="4"/>
  <c r="H165" i="4"/>
  <c r="H164" i="4"/>
  <c r="I164" i="4" s="1"/>
  <c r="H163" i="4"/>
  <c r="I163" i="4" s="1"/>
  <c r="H162" i="4"/>
  <c r="I162" i="4" s="1"/>
  <c r="K159" i="4"/>
  <c r="H159" i="4"/>
  <c r="H158" i="4"/>
  <c r="I158" i="4" s="1"/>
  <c r="H157" i="4"/>
  <c r="I157" i="4" s="1"/>
  <c r="H155" i="4"/>
  <c r="I155" i="4" s="1"/>
  <c r="H154" i="4"/>
  <c r="I154" i="4" s="1"/>
  <c r="H153" i="4"/>
  <c r="I153" i="4" s="1"/>
  <c r="K150" i="4"/>
  <c r="H150" i="4"/>
  <c r="H149" i="4"/>
  <c r="I149" i="4" s="1"/>
  <c r="H147" i="4"/>
  <c r="I147" i="4" s="1"/>
  <c r="H146" i="4"/>
  <c r="K144" i="4"/>
  <c r="H144" i="4"/>
  <c r="I144" i="4" s="1"/>
  <c r="H143" i="4"/>
  <c r="I143" i="4" s="1"/>
  <c r="H142" i="4"/>
  <c r="I142" i="4" s="1"/>
  <c r="K139" i="4"/>
  <c r="H139" i="4"/>
  <c r="J138" i="4"/>
  <c r="K138" i="4" s="1"/>
  <c r="H138" i="4"/>
  <c r="I138" i="4" s="1"/>
  <c r="H136" i="4"/>
  <c r="I136" i="4" s="1"/>
  <c r="H135" i="4"/>
  <c r="I135" i="4" s="1"/>
  <c r="K133" i="4"/>
  <c r="H133" i="4"/>
  <c r="I133" i="4" s="1"/>
  <c r="H131" i="4"/>
  <c r="I131" i="4" s="1"/>
  <c r="K128" i="4"/>
  <c r="H128" i="4"/>
  <c r="K126" i="4"/>
  <c r="H126" i="4"/>
  <c r="H125" i="4"/>
  <c r="I125" i="4" s="1"/>
  <c r="H124" i="4"/>
  <c r="I124" i="4" s="1"/>
  <c r="H122" i="4"/>
  <c r="I122" i="4" s="1"/>
  <c r="H121" i="4"/>
  <c r="I121" i="4" s="1"/>
  <c r="K118" i="4"/>
  <c r="H118" i="4"/>
  <c r="H117" i="4"/>
  <c r="I117" i="4" s="1"/>
  <c r="H116" i="4"/>
  <c r="I116" i="4" s="1"/>
  <c r="J114" i="4"/>
  <c r="K114" i="4" s="1"/>
  <c r="H114" i="4"/>
  <c r="I114" i="4" s="1"/>
  <c r="K112" i="4"/>
  <c r="J112" i="4"/>
  <c r="H112" i="4"/>
  <c r="H111" i="4"/>
  <c r="I111" i="4" s="1"/>
  <c r="H110" i="4"/>
  <c r="I110" i="4" s="1"/>
  <c r="H109" i="4"/>
  <c r="I109" i="4" s="1"/>
  <c r="K105" i="4"/>
  <c r="H105" i="4"/>
  <c r="H104" i="4"/>
  <c r="I104" i="4" s="1"/>
  <c r="K102" i="4"/>
  <c r="J102" i="4"/>
  <c r="H102" i="4"/>
  <c r="H101" i="4"/>
  <c r="I101" i="4" s="1"/>
  <c r="H100" i="4"/>
  <c r="I100" i="4" s="1"/>
  <c r="K97" i="4"/>
  <c r="H97" i="4"/>
  <c r="H96" i="4"/>
  <c r="I96" i="4" s="1"/>
  <c r="J93" i="4"/>
  <c r="K93" i="4" s="1"/>
  <c r="H93" i="4"/>
  <c r="I93" i="4" s="1"/>
  <c r="J92" i="4"/>
  <c r="K92" i="4" s="1"/>
  <c r="H92" i="4"/>
  <c r="I92" i="4" s="1"/>
  <c r="J91" i="4"/>
  <c r="K91" i="4" s="1"/>
  <c r="H91" i="4"/>
  <c r="I91" i="4" s="1"/>
  <c r="J90" i="4"/>
  <c r="K90" i="4" s="1"/>
  <c r="H90" i="4"/>
  <c r="I90" i="4" s="1"/>
  <c r="J89" i="4"/>
  <c r="K89" i="4" s="1"/>
  <c r="H89" i="4"/>
  <c r="I89" i="4" s="1"/>
  <c r="J88" i="4"/>
  <c r="K88" i="4" s="1"/>
  <c r="H88" i="4"/>
  <c r="I88" i="4" s="1"/>
  <c r="J87" i="4"/>
  <c r="K87" i="4" s="1"/>
  <c r="H87" i="4"/>
  <c r="I87" i="4" s="1"/>
  <c r="J86" i="4"/>
  <c r="K86" i="4" s="1"/>
  <c r="H86" i="4"/>
  <c r="I86" i="4" s="1"/>
  <c r="J85" i="4"/>
  <c r="K85" i="4" s="1"/>
  <c r="H85" i="4"/>
  <c r="I85" i="4" s="1"/>
  <c r="J84" i="4"/>
  <c r="K84" i="4" s="1"/>
  <c r="H84" i="4"/>
  <c r="I84" i="4" s="1"/>
  <c r="J83" i="4"/>
  <c r="K83" i="4" s="1"/>
  <c r="H83" i="4"/>
  <c r="I83" i="4" s="1"/>
  <c r="K80" i="4"/>
  <c r="H80" i="4"/>
  <c r="H78" i="4"/>
  <c r="I78" i="4" s="1"/>
  <c r="J76" i="4"/>
  <c r="K76" i="4" s="1"/>
  <c r="H76" i="4"/>
  <c r="I76" i="4" s="1"/>
  <c r="J75" i="4"/>
  <c r="K75" i="4" s="1"/>
  <c r="H75" i="4"/>
  <c r="I75" i="4" s="1"/>
  <c r="J74" i="4"/>
  <c r="K74" i="4" s="1"/>
  <c r="H74" i="4"/>
  <c r="I74" i="4" s="1"/>
  <c r="J73" i="4"/>
  <c r="K73" i="4" s="1"/>
  <c r="H73" i="4"/>
  <c r="I73" i="4" s="1"/>
  <c r="J72" i="4"/>
  <c r="K72" i="4" s="1"/>
  <c r="H72" i="4"/>
  <c r="I72" i="4" s="1"/>
  <c r="J71" i="4"/>
  <c r="K71" i="4" s="1"/>
  <c r="H71" i="4"/>
  <c r="I71" i="4" s="1"/>
  <c r="J70" i="4"/>
  <c r="K70" i="4" s="1"/>
  <c r="H70" i="4"/>
  <c r="I70" i="4" s="1"/>
  <c r="K67" i="4"/>
  <c r="H67" i="4"/>
  <c r="H66" i="4"/>
  <c r="I66" i="4" s="1"/>
  <c r="H65" i="4"/>
  <c r="I65" i="4" s="1"/>
  <c r="K63" i="4"/>
  <c r="H62" i="4"/>
  <c r="I62" i="4" s="1"/>
  <c r="H60" i="4"/>
  <c r="I60" i="4" s="1"/>
  <c r="J59" i="4"/>
  <c r="K59" i="4" s="1"/>
  <c r="H59" i="4"/>
  <c r="I59" i="4" s="1"/>
  <c r="K56" i="4"/>
  <c r="H56" i="4"/>
  <c r="K54" i="4"/>
  <c r="H54" i="4"/>
  <c r="H53" i="4"/>
  <c r="I53" i="4" s="1"/>
  <c r="H52" i="4"/>
  <c r="I52" i="4" s="1"/>
  <c r="K49" i="4"/>
  <c r="H49" i="4"/>
  <c r="K44" i="4"/>
  <c r="H44" i="4"/>
  <c r="J43" i="4"/>
  <c r="K43" i="4" s="1"/>
  <c r="H43" i="4"/>
  <c r="I43" i="4" s="1"/>
  <c r="J41" i="4"/>
  <c r="K41" i="4" s="1"/>
  <c r="H41" i="4"/>
  <c r="I41" i="4" s="1"/>
  <c r="J40" i="4"/>
  <c r="K40" i="4" s="1"/>
  <c r="H40" i="4"/>
  <c r="I40" i="4" s="1"/>
  <c r="K37" i="4"/>
  <c r="H37" i="4"/>
  <c r="H36" i="4"/>
  <c r="I36" i="4" s="1"/>
  <c r="H34" i="4"/>
  <c r="I34" i="4" s="1"/>
  <c r="K32" i="4"/>
  <c r="H32" i="4"/>
  <c r="K31" i="4"/>
  <c r="H31" i="4"/>
  <c r="J30" i="4"/>
  <c r="K30" i="4" s="1"/>
  <c r="H30" i="4"/>
  <c r="I30" i="4" s="1"/>
  <c r="J29" i="4"/>
  <c r="K29" i="4" s="1"/>
  <c r="H29" i="4"/>
  <c r="I29" i="4" s="1"/>
  <c r="J28" i="4"/>
  <c r="K28" i="4" s="1"/>
  <c r="H28" i="4"/>
  <c r="I28" i="4" s="1"/>
  <c r="J27" i="4"/>
  <c r="K27" i="4" s="1"/>
  <c r="H27" i="4"/>
  <c r="I27" i="4" s="1"/>
  <c r="K24" i="4"/>
  <c r="H24" i="4"/>
  <c r="K22" i="4"/>
  <c r="H22" i="4"/>
  <c r="K18" i="4"/>
  <c r="H18" i="4"/>
  <c r="K14" i="4"/>
  <c r="H14" i="4"/>
  <c r="K12" i="4"/>
  <c r="H12" i="4"/>
  <c r="H11" i="4"/>
  <c r="G8" i="4"/>
  <c r="K8" i="4" s="1"/>
  <c r="G9" i="4"/>
  <c r="K9" i="4" s="1"/>
  <c r="G10" i="4"/>
  <c r="G17" i="4"/>
  <c r="G16" i="4" s="1"/>
  <c r="G21" i="4"/>
  <c r="G20" i="4" s="1"/>
  <c r="G33" i="4"/>
  <c r="G35" i="4"/>
  <c r="G47" i="4"/>
  <c r="H47" i="4" s="1"/>
  <c r="I47" i="4" s="1"/>
  <c r="G48" i="4"/>
  <c r="H48" i="4" s="1"/>
  <c r="I48" i="4" s="1"/>
  <c r="G51" i="4"/>
  <c r="G64" i="4"/>
  <c r="G79" i="4"/>
  <c r="G77" i="4" s="1"/>
  <c r="G95" i="4"/>
  <c r="G94" i="4" s="1"/>
  <c r="G99" i="4"/>
  <c r="G103" i="4"/>
  <c r="G108" i="4"/>
  <c r="H108" i="4" s="1"/>
  <c r="I108" i="4" s="1"/>
  <c r="G113" i="4"/>
  <c r="H113" i="4" s="1"/>
  <c r="I113" i="4" s="1"/>
  <c r="G115" i="4"/>
  <c r="G120" i="4"/>
  <c r="G123" i="4"/>
  <c r="G130" i="4"/>
  <c r="G132" i="4"/>
  <c r="G134" i="4"/>
  <c r="G141" i="4"/>
  <c r="G145" i="4"/>
  <c r="G148" i="4"/>
  <c r="G152" i="4"/>
  <c r="G156" i="4"/>
  <c r="G161" i="4"/>
  <c r="G187" i="4"/>
  <c r="G192" i="4"/>
  <c r="G196" i="4"/>
  <c r="G201" i="4"/>
  <c r="G206" i="4"/>
  <c r="G210" i="4"/>
  <c r="G230" i="4"/>
  <c r="G234" i="4"/>
  <c r="G237" i="4"/>
  <c r="G252" i="4"/>
  <c r="G256" i="4"/>
  <c r="G259" i="4"/>
  <c r="G263" i="4"/>
  <c r="G267" i="4"/>
  <c r="G271" i="4"/>
  <c r="G274" i="4"/>
  <c r="G280" i="4"/>
  <c r="G285" i="4"/>
  <c r="G290" i="4"/>
  <c r="G298" i="4"/>
  <c r="G303" i="4"/>
  <c r="G309" i="4"/>
  <c r="H309" i="4" s="1"/>
  <c r="G311" i="4"/>
  <c r="G315" i="4"/>
  <c r="G321" i="4"/>
  <c r="G323" i="4"/>
  <c r="G325" i="4"/>
  <c r="G328" i="4"/>
  <c r="G332" i="4"/>
  <c r="G335" i="4"/>
  <c r="G343" i="4"/>
  <c r="G347" i="4"/>
  <c r="G354" i="4"/>
  <c r="G357" i="4"/>
  <c r="G361" i="4"/>
  <c r="G365" i="4"/>
  <c r="G369" i="4"/>
  <c r="G375" i="4"/>
  <c r="G382" i="4"/>
  <c r="G380" i="4" s="1"/>
  <c r="G388" i="4"/>
  <c r="G395" i="4"/>
  <c r="G392" i="4" s="1"/>
  <c r="G396" i="4"/>
  <c r="G402" i="4"/>
  <c r="G404" i="4"/>
  <c r="G408" i="4"/>
  <c r="G410" i="4"/>
  <c r="G415" i="4"/>
  <c r="G414" i="4" s="1"/>
  <c r="G419" i="4"/>
  <c r="G422" i="4"/>
  <c r="G424" i="4"/>
  <c r="G429" i="4"/>
  <c r="G433" i="4"/>
  <c r="G438" i="4"/>
  <c r="G444" i="4"/>
  <c r="G449" i="4"/>
  <c r="G451" i="4"/>
  <c r="G465" i="4"/>
  <c r="H465" i="4" s="1"/>
  <c r="I465" i="4" s="1"/>
  <c r="G466" i="4"/>
  <c r="H466" i="4" s="1"/>
  <c r="I466" i="4" s="1"/>
  <c r="G468" i="4"/>
  <c r="H468" i="4" s="1"/>
  <c r="I468" i="4" s="1"/>
  <c r="G469" i="4"/>
  <c r="H469" i="4" s="1"/>
  <c r="I469" i="4" s="1"/>
  <c r="G471" i="4"/>
  <c r="H471" i="4" s="1"/>
  <c r="I471" i="4" s="1"/>
  <c r="G474" i="4"/>
  <c r="H474" i="4" s="1"/>
  <c r="I474" i="4" s="1"/>
  <c r="G475" i="4"/>
  <c r="H475" i="4" s="1"/>
  <c r="I475" i="4" s="1"/>
  <c r="G479" i="4"/>
  <c r="H479" i="4" s="1"/>
  <c r="I479" i="4" s="1"/>
  <c r="G481" i="4"/>
  <c r="G480" i="4" s="1"/>
  <c r="G488" i="4"/>
  <c r="G484" i="4" s="1"/>
  <c r="G494" i="4"/>
  <c r="G497" i="4"/>
  <c r="G501" i="4"/>
  <c r="G505" i="4"/>
  <c r="H505" i="4" s="1"/>
  <c r="I505" i="4" s="1"/>
  <c r="G509" i="4"/>
  <c r="G517" i="4"/>
  <c r="G520" i="4"/>
  <c r="G524" i="4"/>
  <c r="G529" i="4"/>
  <c r="G537" i="4"/>
  <c r="G540" i="4"/>
  <c r="G544" i="4"/>
  <c r="G547" i="4"/>
  <c r="G552" i="4"/>
  <c r="G555" i="4"/>
  <c r="G563" i="4"/>
  <c r="G566" i="4"/>
  <c r="G570" i="4"/>
  <c r="G574" i="4"/>
  <c r="G579" i="4"/>
  <c r="G581" i="4"/>
  <c r="G590" i="4"/>
  <c r="G595" i="4"/>
  <c r="G601" i="4"/>
  <c r="G607" i="4"/>
  <c r="G610" i="4"/>
  <c r="G614" i="4"/>
  <c r="G618" i="4"/>
  <c r="G624" i="4"/>
  <c r="G626" i="4"/>
  <c r="G629" i="4"/>
  <c r="G632" i="4"/>
  <c r="G635" i="4"/>
  <c r="G640" i="4"/>
  <c r="G646" i="4"/>
  <c r="G649" i="4"/>
  <c r="G656" i="4"/>
  <c r="G667" i="4"/>
  <c r="G669" i="4"/>
  <c r="G677" i="4"/>
  <c r="G687" i="4"/>
  <c r="G685" i="4" s="1"/>
  <c r="G690" i="4"/>
  <c r="G695" i="4"/>
  <c r="G699" i="4"/>
  <c r="G705" i="4"/>
  <c r="G709" i="4"/>
  <c r="G712" i="4"/>
  <c r="G719" i="4"/>
  <c r="G724" i="4"/>
  <c r="G726" i="4"/>
  <c r="G732" i="4"/>
  <c r="G738" i="4"/>
  <c r="G740" i="4"/>
  <c r="G755" i="4"/>
  <c r="G759" i="4"/>
  <c r="G764" i="4"/>
  <c r="G769" i="4"/>
  <c r="G772" i="4"/>
  <c r="G776" i="4"/>
  <c r="G779" i="4"/>
  <c r="G784" i="4"/>
  <c r="G787" i="4"/>
  <c r="G804" i="4"/>
  <c r="H9" i="7"/>
  <c r="H12" i="7"/>
  <c r="H15" i="7"/>
  <c r="I15" i="7" s="1"/>
  <c r="H16" i="7"/>
  <c r="H19" i="7"/>
  <c r="H21" i="7"/>
  <c r="I21" i="7" s="1"/>
  <c r="H22" i="7"/>
  <c r="H24" i="7"/>
  <c r="I24" i="7"/>
  <c r="H25" i="7"/>
  <c r="I25" i="7" s="1"/>
  <c r="H26" i="7"/>
  <c r="I26" i="7"/>
  <c r="H27" i="7"/>
  <c r="I27" i="7" s="1"/>
  <c r="H28" i="7"/>
  <c r="H31" i="7"/>
  <c r="I31" i="7" s="1"/>
  <c r="H33" i="7"/>
  <c r="I33" i="7" s="1"/>
  <c r="H34" i="7"/>
  <c r="H36" i="7"/>
  <c r="H39" i="7"/>
  <c r="I39" i="7" s="1"/>
  <c r="H40" i="7"/>
  <c r="H41" i="7"/>
  <c r="H44" i="7"/>
  <c r="I44" i="7" s="1"/>
  <c r="H45" i="7"/>
  <c r="I45" i="7" s="1"/>
  <c r="H46" i="7"/>
  <c r="H47" i="7"/>
  <c r="H48" i="7"/>
  <c r="H49" i="7"/>
  <c r="H50" i="7"/>
  <c r="H51" i="7"/>
  <c r="H52" i="7"/>
  <c r="H53" i="7"/>
  <c r="H54" i="7"/>
  <c r="H55" i="7"/>
  <c r="H56" i="7"/>
  <c r="H57" i="7"/>
  <c r="H58" i="7"/>
  <c r="H59" i="7"/>
  <c r="H60" i="7"/>
  <c r="H61" i="7"/>
  <c r="H64" i="7"/>
  <c r="I64" i="7"/>
  <c r="H65" i="7"/>
  <c r="I65" i="7" s="1"/>
  <c r="H66" i="7"/>
  <c r="H69" i="7"/>
  <c r="I69" i="7" s="1"/>
  <c r="H70" i="7"/>
  <c r="H71" i="7"/>
  <c r="H72" i="7"/>
  <c r="I72" i="7" s="1"/>
  <c r="H73" i="7"/>
  <c r="I73" i="7" s="1"/>
  <c r="H75" i="7"/>
  <c r="H76" i="7"/>
  <c r="I76" i="7"/>
  <c r="H79" i="7"/>
  <c r="I79" i="7" s="1"/>
  <c r="H80" i="7"/>
  <c r="I80" i="7" s="1"/>
  <c r="H81" i="7"/>
  <c r="I81" i="7" s="1"/>
  <c r="H82" i="7"/>
  <c r="H85" i="7"/>
  <c r="I85" i="7" s="1"/>
  <c r="H87" i="7"/>
  <c r="I87" i="7" s="1"/>
  <c r="H88" i="7"/>
  <c r="H89" i="7"/>
  <c r="H90" i="7"/>
  <c r="H92" i="7"/>
  <c r="I92" i="7"/>
  <c r="H93" i="7"/>
  <c r="H95" i="7"/>
  <c r="H96" i="7"/>
  <c r="L1570" i="17" l="1"/>
  <c r="L1448" i="17"/>
  <c r="L1947" i="17" s="1"/>
  <c r="L1041" i="17"/>
  <c r="L1941" i="17" s="1"/>
  <c r="L1709" i="17"/>
  <c r="L663" i="17"/>
  <c r="L1938" i="17" s="1"/>
  <c r="L1764" i="17"/>
  <c r="L1499" i="17"/>
  <c r="L1948" i="17" s="1"/>
  <c r="L1132" i="17"/>
  <c r="L1942" i="17" s="1"/>
  <c r="L978" i="17"/>
  <c r="L1635" i="17"/>
  <c r="L1950" i="17" s="1"/>
  <c r="L1365" i="17"/>
  <c r="L1946" i="17" s="1"/>
  <c r="H481" i="4"/>
  <c r="I481" i="4" s="1"/>
  <c r="H79" i="4"/>
  <c r="I79" i="4" s="1"/>
  <c r="H8" i="4"/>
  <c r="I8" i="4" s="1"/>
  <c r="H687" i="4"/>
  <c r="I687" i="4" s="1"/>
  <c r="H17" i="4"/>
  <c r="I17" i="4" s="1"/>
  <c r="H9" i="4"/>
  <c r="I9" i="4" s="1"/>
  <c r="H21" i="4"/>
  <c r="I21" i="4" s="1"/>
  <c r="H488" i="4"/>
  <c r="I488" i="4" s="1"/>
  <c r="H395" i="4"/>
  <c r="I395" i="4" s="1"/>
  <c r="H415" i="4"/>
  <c r="I415" i="4" s="1"/>
  <c r="H382" i="4"/>
  <c r="I382" i="4" s="1"/>
  <c r="H328" i="4"/>
  <c r="K132" i="4"/>
  <c r="H311" i="4"/>
  <c r="G508" i="4"/>
  <c r="H10" i="4"/>
  <c r="G763" i="4"/>
  <c r="H624" i="4"/>
  <c r="H449" i="4"/>
  <c r="I449" i="4" s="1"/>
  <c r="H451" i="4"/>
  <c r="I451" i="4" s="1"/>
  <c r="G483" i="4"/>
  <c r="G594" i="4"/>
  <c r="K280" i="4"/>
  <c r="G7" i="4"/>
  <c r="G428" i="4"/>
  <c r="G140" i="4"/>
  <c r="G478" i="4"/>
  <c r="G477" i="4" s="1"/>
  <c r="G473" i="4"/>
  <c r="G467" i="4"/>
  <c r="G783" i="4"/>
  <c r="G46" i="4"/>
  <c r="G504" i="4"/>
  <c r="G493" i="4" s="1"/>
  <c r="G470" i="4"/>
  <c r="G58" i="4"/>
  <c r="G464" i="4"/>
  <c r="G731" i="4"/>
  <c r="G578" i="4"/>
  <c r="G217" i="4"/>
  <c r="G69" i="4"/>
  <c r="G266" i="4"/>
  <c r="G137" i="4"/>
  <c r="G694" i="4"/>
  <c r="G360" i="4"/>
  <c r="G314" i="4"/>
  <c r="G262" i="4"/>
  <c r="G174" i="4"/>
  <c r="G536" i="4"/>
  <c r="G523" i="4"/>
  <c r="G448" i="4"/>
  <c r="G251" i="4"/>
  <c r="G775" i="4"/>
  <c r="G401" i="4"/>
  <c r="G623" i="4"/>
  <c r="G516" i="4"/>
  <c r="G437" i="4"/>
  <c r="G346" i="4"/>
  <c r="G226" i="4"/>
  <c r="G205" i="4"/>
  <c r="G167" i="4"/>
  <c r="G50" i="4"/>
  <c r="G391" i="4"/>
  <c r="G302" i="4"/>
  <c r="G248" i="4"/>
  <c r="G224" i="4"/>
  <c r="G160" i="4"/>
  <c r="G119" i="4"/>
  <c r="G19" i="4"/>
  <c r="G26" i="4"/>
  <c r="G768" i="4"/>
  <c r="G613" i="4"/>
  <c r="G562" i="4"/>
  <c r="G331" i="4"/>
  <c r="G195" i="4"/>
  <c r="G82" i="4"/>
  <c r="G15" i="4"/>
  <c r="G718" i="4"/>
  <c r="G666" i="4"/>
  <c r="G606" i="4"/>
  <c r="G289" i="4"/>
  <c r="G245" i="4"/>
  <c r="G221" i="4"/>
  <c r="G151" i="4"/>
  <c r="G655" i="4"/>
  <c r="G551" i="4"/>
  <c r="G279" i="4"/>
  <c r="G186" i="4"/>
  <c r="G42" i="4"/>
  <c r="G600" i="4"/>
  <c r="G241" i="4"/>
  <c r="G183" i="4"/>
  <c r="G107" i="4"/>
  <c r="G704" i="4"/>
  <c r="G413" i="4"/>
  <c r="G374" i="4"/>
  <c r="G178" i="4"/>
  <c r="G39" i="4"/>
  <c r="G585" i="4"/>
  <c r="G684" i="4"/>
  <c r="G229" i="4"/>
  <c r="G639" i="4"/>
  <c r="G368" i="4"/>
  <c r="G98" i="4"/>
  <c r="L1953" i="17" l="1"/>
  <c r="L1962" i="17" s="1"/>
  <c r="L1446" i="17"/>
  <c r="L1497" i="17"/>
  <c r="L1038" i="17"/>
  <c r="L658" i="17"/>
  <c r="L1128" i="17"/>
  <c r="L1633" i="17"/>
  <c r="L1361" i="17"/>
  <c r="G45" i="4"/>
  <c r="G68" i="4"/>
  <c r="H448" i="4"/>
  <c r="I448" i="4" s="1"/>
  <c r="G57" i="4"/>
  <c r="K7" i="4"/>
  <c r="G463" i="4"/>
  <c r="G240" i="4"/>
  <c r="G621" i="4"/>
  <c r="G277" i="4"/>
  <c r="G799" i="4" s="1"/>
  <c r="G216" i="4"/>
  <c r="G491" i="4"/>
  <c r="G38" i="4"/>
  <c r="G803" i="4"/>
  <c r="G81" i="4"/>
  <c r="G177" i="4"/>
  <c r="G25" i="4"/>
  <c r="G796" i="4"/>
  <c r="G129" i="4"/>
  <c r="G560" i="4"/>
  <c r="G664" i="4"/>
  <c r="G106" i="4"/>
  <c r="G13" i="4"/>
  <c r="G166" i="4"/>
  <c r="G716" i="4"/>
  <c r="G399" i="4"/>
  <c r="G801" i="4"/>
  <c r="G534" i="4"/>
  <c r="G461" i="4" l="1"/>
  <c r="G809" i="4"/>
  <c r="G55" i="4"/>
  <c r="G797" i="4" s="1"/>
  <c r="G127" i="4"/>
  <c r="G808" i="4"/>
  <c r="G807" i="4"/>
  <c r="G806" i="4"/>
  <c r="G23" i="4"/>
  <c r="G802" i="4"/>
  <c r="G794" i="4"/>
  <c r="G811" i="4"/>
  <c r="G810" i="4"/>
  <c r="G798" i="4" l="1"/>
  <c r="G805" i="4"/>
  <c r="G795" i="4"/>
  <c r="F78" i="52" l="1"/>
  <c r="F77" i="52"/>
  <c r="F74" i="52"/>
  <c r="F73" i="52"/>
  <c r="F72" i="52"/>
  <c r="F67" i="52"/>
  <c r="F66" i="52"/>
  <c r="F63" i="52"/>
  <c r="F30" i="52"/>
  <c r="F23" i="52"/>
  <c r="F20" i="52"/>
  <c r="F18" i="52"/>
  <c r="F14" i="52"/>
  <c r="C6" i="53" l="1"/>
  <c r="D6" i="53"/>
  <c r="E6" i="53"/>
  <c r="H6" i="53"/>
  <c r="B6" i="53"/>
  <c r="I8" i="53"/>
  <c r="J8" i="53" s="1"/>
  <c r="I9" i="53"/>
  <c r="J9" i="53" s="1"/>
  <c r="I10" i="53"/>
  <c r="J10" i="53" s="1"/>
  <c r="I11" i="53"/>
  <c r="J11" i="53" s="1"/>
  <c r="I12" i="53"/>
  <c r="J12" i="53" s="1"/>
  <c r="I13" i="53"/>
  <c r="J13" i="53" s="1"/>
  <c r="I14" i="53"/>
  <c r="J14" i="53" s="1"/>
  <c r="I15" i="53"/>
  <c r="J15" i="53" s="1"/>
  <c r="I16" i="53"/>
  <c r="J16" i="53" s="1"/>
  <c r="I17" i="53"/>
  <c r="J17" i="53" s="1"/>
  <c r="I18" i="53"/>
  <c r="J18" i="53" s="1"/>
  <c r="I19" i="53"/>
  <c r="J19" i="53" s="1"/>
  <c r="I7" i="53"/>
  <c r="J7" i="53" s="1"/>
  <c r="G8" i="53"/>
  <c r="K8" i="53" s="1"/>
  <c r="L8" i="53" s="1"/>
  <c r="G9" i="53"/>
  <c r="K9" i="53" s="1"/>
  <c r="L9" i="53" s="1"/>
  <c r="G10" i="53"/>
  <c r="K10" i="53" s="1"/>
  <c r="L10" i="53" s="1"/>
  <c r="G11" i="53"/>
  <c r="K11" i="53" s="1"/>
  <c r="L11" i="53" s="1"/>
  <c r="G12" i="53"/>
  <c r="K12" i="53" s="1"/>
  <c r="L12" i="53" s="1"/>
  <c r="G13" i="53"/>
  <c r="G14" i="53"/>
  <c r="K14" i="53" s="1"/>
  <c r="L14" i="53" s="1"/>
  <c r="G15" i="53"/>
  <c r="K15" i="53" s="1"/>
  <c r="L15" i="53" s="1"/>
  <c r="G16" i="53"/>
  <c r="K16" i="53" s="1"/>
  <c r="L16" i="53" s="1"/>
  <c r="G17" i="53"/>
  <c r="K17" i="53" s="1"/>
  <c r="L17" i="53" s="1"/>
  <c r="G18" i="53"/>
  <c r="K18" i="53" s="1"/>
  <c r="L18" i="53" s="1"/>
  <c r="G19" i="53"/>
  <c r="K19" i="53" s="1"/>
  <c r="L19" i="53" s="1"/>
  <c r="G7" i="53"/>
  <c r="K7" i="53" s="1"/>
  <c r="G6" i="53" l="1"/>
  <c r="K6" i="53" s="1"/>
  <c r="L6" i="53" s="1"/>
  <c r="K13" i="53"/>
  <c r="L13" i="53" s="1"/>
  <c r="M7" i="53"/>
  <c r="M19" i="53"/>
  <c r="M8" i="53"/>
  <c r="M6" i="53"/>
  <c r="M9" i="53"/>
  <c r="M10" i="53"/>
  <c r="M11" i="53"/>
  <c r="M12" i="53"/>
  <c r="M13" i="53"/>
  <c r="M14" i="53"/>
  <c r="M15" i="53"/>
  <c r="M16" i="53"/>
  <c r="M17" i="53"/>
  <c r="M18" i="53"/>
  <c r="I6" i="53"/>
  <c r="J6" i="53" s="1"/>
  <c r="H9" i="52" l="1"/>
  <c r="I9" i="52" s="1"/>
  <c r="H10" i="52"/>
  <c r="I10" i="52" s="1"/>
  <c r="H11" i="52"/>
  <c r="I11" i="52" s="1"/>
  <c r="H12" i="52"/>
  <c r="I12" i="52" s="1"/>
  <c r="H13" i="52"/>
  <c r="I13" i="52" s="1"/>
  <c r="H14" i="52"/>
  <c r="I14" i="52" s="1"/>
  <c r="H15" i="52"/>
  <c r="I15" i="52" s="1"/>
  <c r="H16" i="52"/>
  <c r="I16" i="52" s="1"/>
  <c r="I17" i="52"/>
  <c r="I18" i="52"/>
  <c r="I19" i="52"/>
  <c r="H20" i="52"/>
  <c r="I20" i="52" s="1"/>
  <c r="H21" i="52"/>
  <c r="I21" i="52" s="1"/>
  <c r="H22" i="52"/>
  <c r="I22" i="52" s="1"/>
  <c r="H23" i="52"/>
  <c r="I23" i="52" s="1"/>
  <c r="I24" i="52"/>
  <c r="H28" i="52"/>
  <c r="I28" i="52" s="1"/>
  <c r="H29" i="52"/>
  <c r="I29" i="52" s="1"/>
  <c r="H30" i="52"/>
  <c r="I30" i="52" s="1"/>
  <c r="I31" i="52"/>
  <c r="H32" i="52"/>
  <c r="I32" i="52" s="1"/>
  <c r="H33" i="52"/>
  <c r="I33" i="52" s="1"/>
  <c r="H37" i="52"/>
  <c r="I37" i="52" s="1"/>
  <c r="H47" i="52"/>
  <c r="I47" i="52" s="1"/>
  <c r="H53" i="52"/>
  <c r="I53" i="52" s="1"/>
  <c r="I63" i="52"/>
  <c r="H66" i="52"/>
  <c r="I66" i="52" s="1"/>
  <c r="H67" i="52"/>
  <c r="I67" i="52" s="1"/>
  <c r="I72" i="52"/>
  <c r="H73" i="52"/>
  <c r="I73" i="52" s="1"/>
  <c r="H74" i="52"/>
  <c r="I74" i="52" s="1"/>
  <c r="H77" i="52"/>
  <c r="I77" i="52" s="1"/>
  <c r="H78" i="52"/>
  <c r="I78" i="52" s="1"/>
  <c r="J78" i="52"/>
  <c r="K78" i="52" s="1"/>
  <c r="J77" i="52"/>
  <c r="K77" i="52" s="1"/>
  <c r="B76" i="52"/>
  <c r="J74" i="52"/>
  <c r="K74" i="52" s="1"/>
  <c r="J73" i="52"/>
  <c r="K73" i="52" s="1"/>
  <c r="K72" i="52"/>
  <c r="B71" i="52"/>
  <c r="J67" i="52"/>
  <c r="K67" i="52" s="1"/>
  <c r="J66" i="52"/>
  <c r="K66" i="52" s="1"/>
  <c r="B65" i="52"/>
  <c r="K63" i="52"/>
  <c r="B62" i="52"/>
  <c r="D58" i="52"/>
  <c r="C58" i="52"/>
  <c r="B58" i="52"/>
  <c r="F56" i="52"/>
  <c r="E53" i="52"/>
  <c r="F53" i="52" s="1"/>
  <c r="D50" i="52"/>
  <c r="D80" i="52" s="1"/>
  <c r="C50" i="52"/>
  <c r="C80" i="52" s="1"/>
  <c r="B49" i="52"/>
  <c r="B48" i="52"/>
  <c r="J30" i="52"/>
  <c r="K30" i="52" s="1"/>
  <c r="D27" i="52"/>
  <c r="D26" i="52" s="1"/>
  <c r="D84" i="52" s="1"/>
  <c r="C27" i="52"/>
  <c r="B27" i="52"/>
  <c r="F24" i="52"/>
  <c r="J23" i="52"/>
  <c r="K23" i="52" s="1"/>
  <c r="F22" i="52"/>
  <c r="F21" i="52"/>
  <c r="J20" i="52"/>
  <c r="K20" i="52" s="1"/>
  <c r="F19" i="52"/>
  <c r="K18" i="52"/>
  <c r="F15" i="52"/>
  <c r="J14" i="52"/>
  <c r="K14" i="52" s="1"/>
  <c r="F11" i="52"/>
  <c r="F10" i="52"/>
  <c r="F9" i="52"/>
  <c r="D8" i="52"/>
  <c r="C8" i="52"/>
  <c r="C83" i="52" s="1"/>
  <c r="B8" i="52"/>
  <c r="E49" i="52" l="1"/>
  <c r="F49" i="52" s="1"/>
  <c r="J49" i="52" s="1"/>
  <c r="K49" i="52" s="1"/>
  <c r="F17" i="52"/>
  <c r="J17" i="52" s="1"/>
  <c r="K17" i="52" s="1"/>
  <c r="F65" i="52"/>
  <c r="J65" i="52" s="1"/>
  <c r="K65" i="52" s="1"/>
  <c r="F76" i="52"/>
  <c r="J76" i="52" s="1"/>
  <c r="K76" i="52" s="1"/>
  <c r="H48" i="52"/>
  <c r="I48" i="52" s="1"/>
  <c r="H8" i="52"/>
  <c r="I8" i="52" s="1"/>
  <c r="B26" i="52"/>
  <c r="B35" i="52" s="1"/>
  <c r="F71" i="52"/>
  <c r="J71" i="52" s="1"/>
  <c r="K71" i="52" s="1"/>
  <c r="H58" i="52"/>
  <c r="I58" i="52" s="1"/>
  <c r="F62" i="52"/>
  <c r="K62" i="52" s="1"/>
  <c r="J21" i="52"/>
  <c r="K21" i="52" s="1"/>
  <c r="H27" i="52"/>
  <c r="I27" i="52" s="1"/>
  <c r="J10" i="52"/>
  <c r="K10" i="52" s="1"/>
  <c r="H71" i="52"/>
  <c r="I71" i="52" s="1"/>
  <c r="H65" i="52"/>
  <c r="I65" i="52" s="1"/>
  <c r="H76" i="52"/>
  <c r="I76" i="52" s="1"/>
  <c r="I62" i="52"/>
  <c r="I49" i="52"/>
  <c r="E58" i="52"/>
  <c r="F58" i="52" s="1"/>
  <c r="J15" i="52"/>
  <c r="K15" i="52" s="1"/>
  <c r="B83" i="52"/>
  <c r="J22" i="52"/>
  <c r="K22" i="52" s="1"/>
  <c r="J19" i="52"/>
  <c r="K19" i="52" s="1"/>
  <c r="J9" i="52"/>
  <c r="K9" i="52" s="1"/>
  <c r="J24" i="52"/>
  <c r="K24" i="52" s="1"/>
  <c r="C26" i="52"/>
  <c r="C84" i="52" s="1"/>
  <c r="D35" i="52"/>
  <c r="D39" i="52" s="1"/>
  <c r="B50" i="52"/>
  <c r="D83" i="52"/>
  <c r="J11" i="52"/>
  <c r="K11" i="52" s="1"/>
  <c r="H26" i="52" l="1"/>
  <c r="I26" i="52" s="1"/>
  <c r="B84" i="52"/>
  <c r="H83" i="52"/>
  <c r="I83" i="52" s="1"/>
  <c r="B39" i="52"/>
  <c r="H35" i="52"/>
  <c r="I35" i="52" s="1"/>
  <c r="H50" i="52"/>
  <c r="I50" i="52" s="1"/>
  <c r="J58" i="52"/>
  <c r="K58" i="52" s="1"/>
  <c r="J53" i="52"/>
  <c r="K53" i="52" s="1"/>
  <c r="B80" i="52"/>
  <c r="C35" i="52"/>
  <c r="C39" i="52" s="1"/>
  <c r="H39" i="52" l="1"/>
  <c r="I39" i="52" s="1"/>
  <c r="H84" i="52"/>
  <c r="I84" i="52" s="1"/>
  <c r="H80" i="52"/>
  <c r="I80" i="52" s="1"/>
  <c r="F33" i="52"/>
  <c r="F47" i="52" l="1"/>
  <c r="J33" i="52" l="1"/>
  <c r="K33" i="52" s="1"/>
  <c r="J47" i="52"/>
  <c r="K47" i="52" s="1"/>
  <c r="F29" i="52" l="1"/>
  <c r="J29" i="52" l="1"/>
  <c r="K29" i="52" s="1"/>
  <c r="F31" i="52"/>
  <c r="F28" i="52"/>
  <c r="F32" i="52"/>
  <c r="F37" i="52"/>
  <c r="J32" i="52" l="1"/>
  <c r="K32" i="52" s="1"/>
  <c r="J31" i="52"/>
  <c r="K31" i="52" s="1"/>
  <c r="E48" i="52"/>
  <c r="F48" i="52" s="1"/>
  <c r="J37" i="52"/>
  <c r="K37" i="52" s="1"/>
  <c r="E27" i="52"/>
  <c r="F27" i="52" s="1"/>
  <c r="J28" i="52"/>
  <c r="K28" i="52" s="1"/>
  <c r="E26" i="52" l="1"/>
  <c r="F26" i="52" s="1"/>
  <c r="J27" i="52"/>
  <c r="K27" i="52" s="1"/>
  <c r="J48" i="52"/>
  <c r="K48" i="52" s="1"/>
  <c r="E50" i="52"/>
  <c r="F50" i="52" s="1"/>
  <c r="E80" i="52" l="1"/>
  <c r="F80" i="52" s="1"/>
  <c r="J80" i="52" l="1"/>
  <c r="K80" i="52" s="1"/>
  <c r="J50" i="52"/>
  <c r="K50" i="52" s="1"/>
  <c r="J84" i="52"/>
  <c r="K84" i="52" s="1"/>
  <c r="J26" i="52"/>
  <c r="K26" i="52" s="1"/>
  <c r="F16" i="52"/>
  <c r="F13" i="52"/>
  <c r="J13" i="52" l="1"/>
  <c r="K13" i="52" s="1"/>
  <c r="J16" i="52"/>
  <c r="K16" i="52" s="1"/>
  <c r="F12" i="52"/>
  <c r="E8" i="52" l="1"/>
  <c r="F8" i="52" s="1"/>
  <c r="J12" i="52"/>
  <c r="K12" i="52" s="1"/>
  <c r="E35" i="52" l="1"/>
  <c r="F35" i="52" s="1"/>
  <c r="J83" i="52" l="1"/>
  <c r="K83" i="52" s="1"/>
  <c r="J8" i="52"/>
  <c r="K8" i="52" s="1"/>
  <c r="E39" i="52"/>
  <c r="F39" i="52" s="1"/>
  <c r="J35" i="52"/>
  <c r="K35" i="52" s="1"/>
  <c r="J39" i="52" l="1"/>
  <c r="K39" i="52" s="1"/>
  <c r="G59" i="12" l="1"/>
  <c r="G52" i="12" l="1"/>
  <c r="H59" i="12"/>
  <c r="I59" i="12" s="1"/>
  <c r="G7" i="17"/>
  <c r="H7" i="17"/>
  <c r="I7" i="17"/>
  <c r="J7" i="17"/>
  <c r="H12" i="17"/>
  <c r="H1966" i="17" s="1"/>
  <c r="I12" i="17"/>
  <c r="I1966" i="17" s="1"/>
  <c r="J12" i="17"/>
  <c r="J1966" i="17" s="1"/>
  <c r="F14" i="17"/>
  <c r="F15" i="17"/>
  <c r="F18" i="17"/>
  <c r="F19" i="17"/>
  <c r="G27" i="17"/>
  <c r="G31" i="17" s="1"/>
  <c r="I27" i="17"/>
  <c r="I31" i="17" s="1"/>
  <c r="I1932" i="17" s="1"/>
  <c r="J27" i="17"/>
  <c r="J31" i="17" s="1"/>
  <c r="H32" i="17"/>
  <c r="H1967" i="17" s="1"/>
  <c r="I32" i="17"/>
  <c r="I1967" i="17" s="1"/>
  <c r="J32" i="17"/>
  <c r="J1967" i="17" s="1"/>
  <c r="F34" i="17"/>
  <c r="F35" i="17"/>
  <c r="F37" i="17"/>
  <c r="M37" i="17" s="1"/>
  <c r="N37" i="17" s="1"/>
  <c r="H37" i="17"/>
  <c r="F38" i="17"/>
  <c r="H50" i="17"/>
  <c r="K50" i="17" s="1"/>
  <c r="O50" i="17" s="1"/>
  <c r="P50" i="17" s="1"/>
  <c r="F66" i="17"/>
  <c r="F67" i="17"/>
  <c r="M75" i="17"/>
  <c r="N75" i="17" s="1"/>
  <c r="M76" i="17"/>
  <c r="N76" i="17" s="1"/>
  <c r="F95" i="17"/>
  <c r="F104" i="17"/>
  <c r="F192" i="17"/>
  <c r="H192" i="17"/>
  <c r="I192" i="17"/>
  <c r="F193" i="17"/>
  <c r="F211" i="17"/>
  <c r="M211" i="17" s="1"/>
  <c r="N211" i="17" s="1"/>
  <c r="G211" i="17"/>
  <c r="G191" i="17" s="1"/>
  <c r="H211" i="17"/>
  <c r="I211" i="17"/>
  <c r="J211" i="17"/>
  <c r="J191" i="17" s="1"/>
  <c r="F212" i="17"/>
  <c r="M212" i="17" s="1"/>
  <c r="N212" i="17" s="1"/>
  <c r="G212" i="17"/>
  <c r="H212" i="17"/>
  <c r="I212" i="17"/>
  <c r="J212" i="17"/>
  <c r="I228" i="17"/>
  <c r="F230" i="17"/>
  <c r="H230" i="17"/>
  <c r="H236" i="17"/>
  <c r="F237" i="17"/>
  <c r="F243" i="17"/>
  <c r="M243" i="17" s="1"/>
  <c r="N243" i="17" s="1"/>
  <c r="F254" i="17"/>
  <c r="F256" i="17"/>
  <c r="H261" i="17"/>
  <c r="H260" i="17" s="1"/>
  <c r="I261" i="17"/>
  <c r="I260" i="17" s="1"/>
  <c r="J261" i="17"/>
  <c r="J260" i="17" s="1"/>
  <c r="F262" i="17"/>
  <c r="M262" i="17" s="1"/>
  <c r="N262" i="17" s="1"/>
  <c r="J262" i="17"/>
  <c r="F264" i="17"/>
  <c r="G268" i="17"/>
  <c r="G267" i="17" s="1"/>
  <c r="H268" i="17"/>
  <c r="H267" i="17" s="1"/>
  <c r="I268" i="17"/>
  <c r="I267" i="17" s="1"/>
  <c r="J268" i="17"/>
  <c r="J267" i="17" s="1"/>
  <c r="G269" i="17"/>
  <c r="H269" i="17"/>
  <c r="I269" i="17"/>
  <c r="J269" i="17"/>
  <c r="F269" i="17"/>
  <c r="F279" i="17"/>
  <c r="M279" i="17" s="1"/>
  <c r="N279" i="17" s="1"/>
  <c r="H292" i="17"/>
  <c r="H297" i="17" s="1"/>
  <c r="I292" i="17"/>
  <c r="J292" i="17"/>
  <c r="J297" i="17" s="1"/>
  <c r="M295" i="17"/>
  <c r="N295" i="17" s="1"/>
  <c r="F298" i="17"/>
  <c r="M298" i="17" s="1"/>
  <c r="N298" i="17" s="1"/>
  <c r="H298" i="17"/>
  <c r="H1969" i="17" s="1"/>
  <c r="I298" i="17"/>
  <c r="I1969" i="17" s="1"/>
  <c r="J298" i="17"/>
  <c r="J1969" i="17" s="1"/>
  <c r="F303" i="17"/>
  <c r="M313" i="17"/>
  <c r="N313" i="17" s="1"/>
  <c r="H1994" i="17"/>
  <c r="F314" i="17"/>
  <c r="M314" i="17" s="1"/>
  <c r="N314" i="17" s="1"/>
  <c r="G314" i="17"/>
  <c r="J314" i="17"/>
  <c r="G315" i="17"/>
  <c r="I315" i="17"/>
  <c r="J315" i="17"/>
  <c r="G320" i="17"/>
  <c r="H320" i="17"/>
  <c r="J320" i="17"/>
  <c r="G321" i="17"/>
  <c r="H321" i="17"/>
  <c r="J321" i="17"/>
  <c r="G322" i="17"/>
  <c r="H322" i="17"/>
  <c r="J322" i="17"/>
  <c r="G323" i="17"/>
  <c r="H323" i="17"/>
  <c r="J323" i="17"/>
  <c r="I331" i="17"/>
  <c r="K331" i="17" s="1"/>
  <c r="O331" i="17" s="1"/>
  <c r="P331" i="17" s="1"/>
  <c r="G333" i="17"/>
  <c r="J333" i="17"/>
  <c r="G334" i="17"/>
  <c r="H334" i="17"/>
  <c r="J334" i="17"/>
  <c r="G335" i="17"/>
  <c r="H335" i="17"/>
  <c r="J335" i="17"/>
  <c r="H336" i="17"/>
  <c r="H333" i="17"/>
  <c r="G346" i="17"/>
  <c r="H346" i="17"/>
  <c r="J346" i="17"/>
  <c r="G347" i="17"/>
  <c r="H347" i="17"/>
  <c r="J347" i="17"/>
  <c r="G355" i="17"/>
  <c r="H355" i="17"/>
  <c r="J355" i="17"/>
  <c r="G356" i="17"/>
  <c r="H356" i="17"/>
  <c r="J356" i="17"/>
  <c r="G358" i="17"/>
  <c r="H358" i="17"/>
  <c r="J358" i="17"/>
  <c r="G359" i="17"/>
  <c r="H359" i="17"/>
  <c r="J359" i="17"/>
  <c r="F370" i="17"/>
  <c r="M370" i="17" s="1"/>
  <c r="N370" i="17" s="1"/>
  <c r="G370" i="17"/>
  <c r="I370" i="17"/>
  <c r="J370" i="17"/>
  <c r="F371" i="17"/>
  <c r="G371" i="17"/>
  <c r="H371" i="17"/>
  <c r="I371" i="17"/>
  <c r="J371" i="17"/>
  <c r="H374" i="17"/>
  <c r="K374" i="17" s="1"/>
  <c r="O374" i="17" s="1"/>
  <c r="P374" i="17" s="1"/>
  <c r="F384" i="17"/>
  <c r="J389" i="17"/>
  <c r="H398" i="17"/>
  <c r="K398" i="17" s="1"/>
  <c r="O398" i="17" s="1"/>
  <c r="P398" i="17" s="1"/>
  <c r="H412" i="17"/>
  <c r="F419" i="17"/>
  <c r="M419" i="17" s="1"/>
  <c r="N419" i="17" s="1"/>
  <c r="I420" i="17"/>
  <c r="K420" i="17" s="1"/>
  <c r="O420" i="17" s="1"/>
  <c r="P420" i="17" s="1"/>
  <c r="I425" i="17"/>
  <c r="K425" i="17" s="1"/>
  <c r="O425" i="17" s="1"/>
  <c r="P425" i="17" s="1"/>
  <c r="I426" i="17"/>
  <c r="K426" i="17" s="1"/>
  <c r="O426" i="17" s="1"/>
  <c r="P426" i="17" s="1"/>
  <c r="F448" i="17"/>
  <c r="H452" i="17"/>
  <c r="K452" i="17" s="1"/>
  <c r="O452" i="17" s="1"/>
  <c r="P452" i="17" s="1"/>
  <c r="H453" i="17"/>
  <c r="K453" i="17" s="1"/>
  <c r="O453" i="17" s="1"/>
  <c r="P453" i="17" s="1"/>
  <c r="M462" i="17"/>
  <c r="N462" i="17" s="1"/>
  <c r="H1995" i="17"/>
  <c r="F463" i="17"/>
  <c r="G463" i="17"/>
  <c r="H463" i="17"/>
  <c r="I463" i="17"/>
  <c r="F467" i="17"/>
  <c r="M467" i="17" s="1"/>
  <c r="N467" i="17" s="1"/>
  <c r="G468" i="17"/>
  <c r="H468" i="17"/>
  <c r="H467" i="17" s="1"/>
  <c r="I468" i="17"/>
  <c r="J468" i="17"/>
  <c r="J467" i="17" s="1"/>
  <c r="G469" i="17"/>
  <c r="H469" i="17"/>
  <c r="I469" i="17"/>
  <c r="J469" i="17"/>
  <c r="F475" i="17"/>
  <c r="M475" i="17" s="1"/>
  <c r="N475" i="17" s="1"/>
  <c r="G476" i="17"/>
  <c r="H476" i="17"/>
  <c r="J476" i="17"/>
  <c r="G477" i="17"/>
  <c r="H477" i="17"/>
  <c r="I477" i="17"/>
  <c r="J477" i="17"/>
  <c r="I480" i="17"/>
  <c r="G483" i="17"/>
  <c r="H483" i="17"/>
  <c r="I483" i="17"/>
  <c r="J483" i="17"/>
  <c r="G484" i="17"/>
  <c r="H484" i="17"/>
  <c r="I484" i="17"/>
  <c r="J484" i="17"/>
  <c r="G490" i="17"/>
  <c r="H490" i="17"/>
  <c r="I490" i="17"/>
  <c r="J490" i="17"/>
  <c r="G491" i="17"/>
  <c r="H491" i="17"/>
  <c r="I491" i="17"/>
  <c r="J491" i="17"/>
  <c r="G497" i="17"/>
  <c r="H497" i="17"/>
  <c r="I497" i="17"/>
  <c r="J497" i="17"/>
  <c r="G498" i="17"/>
  <c r="H498" i="17"/>
  <c r="I498" i="17"/>
  <c r="J498" i="17"/>
  <c r="G504" i="17"/>
  <c r="H504" i="17"/>
  <c r="J504" i="17"/>
  <c r="G505" i="17"/>
  <c r="H505" i="17"/>
  <c r="I505" i="17"/>
  <c r="J505" i="17"/>
  <c r="I508" i="17"/>
  <c r="K508" i="17" s="1"/>
  <c r="O508" i="17" s="1"/>
  <c r="P508" i="17" s="1"/>
  <c r="G513" i="17"/>
  <c r="I513" i="17"/>
  <c r="J513" i="17"/>
  <c r="G514" i="17"/>
  <c r="J514" i="17"/>
  <c r="I518" i="17"/>
  <c r="K518" i="17" s="1"/>
  <c r="O518" i="17" s="1"/>
  <c r="P518" i="17" s="1"/>
  <c r="F521" i="17"/>
  <c r="M521" i="17" s="1"/>
  <c r="N521" i="17" s="1"/>
  <c r="G521" i="17"/>
  <c r="H521" i="17"/>
  <c r="J521" i="17"/>
  <c r="F522" i="17"/>
  <c r="M522" i="17" s="1"/>
  <c r="N522" i="17" s="1"/>
  <c r="G522" i="17"/>
  <c r="H522" i="17"/>
  <c r="J522" i="17"/>
  <c r="F540" i="17"/>
  <c r="G540" i="17"/>
  <c r="H540" i="17"/>
  <c r="I540" i="17"/>
  <c r="J540" i="17"/>
  <c r="F545" i="17"/>
  <c r="G545" i="17"/>
  <c r="H545" i="17"/>
  <c r="J545" i="17"/>
  <c r="F546" i="17"/>
  <c r="G546" i="17"/>
  <c r="H546" i="17"/>
  <c r="J546" i="17"/>
  <c r="H560" i="17"/>
  <c r="K560" i="17" s="1"/>
  <c r="O560" i="17" s="1"/>
  <c r="P560" i="17" s="1"/>
  <c r="I561" i="17"/>
  <c r="K561" i="17" s="1"/>
  <c r="O561" i="17" s="1"/>
  <c r="P561" i="17" s="1"/>
  <c r="I562" i="17"/>
  <c r="K562" i="17" s="1"/>
  <c r="O562" i="17" s="1"/>
  <c r="P562" i="17" s="1"/>
  <c r="F571" i="17"/>
  <c r="G571" i="17"/>
  <c r="H571" i="17"/>
  <c r="I571" i="17"/>
  <c r="J571" i="17"/>
  <c r="H598" i="17"/>
  <c r="K598" i="17" s="1"/>
  <c r="O598" i="17" s="1"/>
  <c r="P598" i="17" s="1"/>
  <c r="F597" i="17"/>
  <c r="M597" i="17" s="1"/>
  <c r="N597" i="17" s="1"/>
  <c r="G597" i="17"/>
  <c r="J597" i="17"/>
  <c r="I618" i="17"/>
  <c r="K618" i="17" s="1"/>
  <c r="O618" i="17" s="1"/>
  <c r="P618" i="17" s="1"/>
  <c r="H624" i="17"/>
  <c r="K624" i="17" s="1"/>
  <c r="O624" i="17" s="1"/>
  <c r="P624" i="17" s="1"/>
  <c r="H626" i="17"/>
  <c r="K626" i="17" s="1"/>
  <c r="O626" i="17" s="1"/>
  <c r="P626" i="17" s="1"/>
  <c r="F628" i="17"/>
  <c r="H634" i="17"/>
  <c r="I634" i="17"/>
  <c r="F645" i="17"/>
  <c r="M659" i="17"/>
  <c r="N659" i="17" s="1"/>
  <c r="M662" i="17"/>
  <c r="N662" i="17" s="1"/>
  <c r="G667" i="17"/>
  <c r="G668" i="17"/>
  <c r="F682" i="17"/>
  <c r="M682" i="17" s="1"/>
  <c r="N682" i="17" s="1"/>
  <c r="H682" i="17"/>
  <c r="H667" i="17" s="1"/>
  <c r="J682" i="17"/>
  <c r="J667" i="17" s="1"/>
  <c r="F683" i="17"/>
  <c r="M683" i="17" s="1"/>
  <c r="N683" i="17" s="1"/>
  <c r="H683" i="17"/>
  <c r="H668" i="17" s="1"/>
  <c r="J683" i="17"/>
  <c r="J668" i="17" s="1"/>
  <c r="I703" i="17"/>
  <c r="F704" i="17"/>
  <c r="M704" i="17" s="1"/>
  <c r="N704" i="17" s="1"/>
  <c r="G704" i="17"/>
  <c r="H704" i="17"/>
  <c r="J704" i="17"/>
  <c r="F706" i="17"/>
  <c r="M706" i="17" s="1"/>
  <c r="N706" i="17" s="1"/>
  <c r="G706" i="17"/>
  <c r="H706" i="17"/>
  <c r="H703" i="17" s="1"/>
  <c r="J706" i="17"/>
  <c r="J703" i="17" s="1"/>
  <c r="I707" i="17"/>
  <c r="K707" i="17" s="1"/>
  <c r="O707" i="17" s="1"/>
  <c r="P707" i="17" s="1"/>
  <c r="G736" i="17"/>
  <c r="H736" i="17"/>
  <c r="I736" i="17"/>
  <c r="J736" i="17"/>
  <c r="F743" i="17"/>
  <c r="F755" i="17"/>
  <c r="F759" i="17"/>
  <c r="M759" i="17" s="1"/>
  <c r="N759" i="17" s="1"/>
  <c r="G759" i="17"/>
  <c r="H759" i="17"/>
  <c r="J759" i="17"/>
  <c r="F760" i="17"/>
  <c r="M760" i="17" s="1"/>
  <c r="N760" i="17" s="1"/>
  <c r="G760" i="17"/>
  <c r="G730" i="17" s="1"/>
  <c r="H760" i="17"/>
  <c r="H730" i="17" s="1"/>
  <c r="J760" i="17"/>
  <c r="J730" i="17" s="1"/>
  <c r="H797" i="17"/>
  <c r="J797" i="17"/>
  <c r="F798" i="17"/>
  <c r="J798" i="17"/>
  <c r="F812" i="17"/>
  <c r="M812" i="17" s="1"/>
  <c r="N812" i="17" s="1"/>
  <c r="I812" i="17"/>
  <c r="I797" i="17" s="1"/>
  <c r="G831" i="17"/>
  <c r="G829" i="17" s="1"/>
  <c r="J831" i="17"/>
  <c r="H852" i="17"/>
  <c r="I852" i="17"/>
  <c r="F854" i="17"/>
  <c r="I858" i="17"/>
  <c r="F859" i="17"/>
  <c r="M859" i="17" s="1"/>
  <c r="N859" i="17" s="1"/>
  <c r="F864" i="17"/>
  <c r="H864" i="17"/>
  <c r="I864" i="17"/>
  <c r="F869" i="17"/>
  <c r="I869" i="17"/>
  <c r="J925" i="17"/>
  <c r="F935" i="17"/>
  <c r="M935" i="17" s="1"/>
  <c r="N935" i="17" s="1"/>
  <c r="H935" i="17"/>
  <c r="H925" i="17" s="1"/>
  <c r="I935" i="17"/>
  <c r="I925" i="17" s="1"/>
  <c r="F982" i="17"/>
  <c r="M982" i="17" s="1"/>
  <c r="N982" i="17" s="1"/>
  <c r="G982" i="17"/>
  <c r="G1973" i="17" s="1"/>
  <c r="H982" i="17"/>
  <c r="H1973" i="17" s="1"/>
  <c r="I982" i="17"/>
  <c r="I1973" i="17" s="1"/>
  <c r="J982" i="17"/>
  <c r="J1973" i="17" s="1"/>
  <c r="F985" i="17"/>
  <c r="M985" i="17" s="1"/>
  <c r="N985" i="17" s="1"/>
  <c r="G985" i="17"/>
  <c r="G984" i="17" s="1"/>
  <c r="G976" i="17" s="1"/>
  <c r="G981" i="17" s="1"/>
  <c r="H985" i="17"/>
  <c r="H984" i="17" s="1"/>
  <c r="I985" i="17"/>
  <c r="I984" i="17" s="1"/>
  <c r="J989" i="17"/>
  <c r="J976" i="17" s="1"/>
  <c r="J981" i="17" s="1"/>
  <c r="F996" i="17"/>
  <c r="H996" i="17"/>
  <c r="I996" i="17"/>
  <c r="I1007" i="17"/>
  <c r="K1007" i="17" s="1"/>
  <c r="O1007" i="17" s="1"/>
  <c r="P1007" i="17" s="1"/>
  <c r="I1009" i="17"/>
  <c r="K1009" i="17" s="1"/>
  <c r="O1009" i="17" s="1"/>
  <c r="P1009" i="17" s="1"/>
  <c r="F1011" i="17"/>
  <c r="M1011" i="17" s="1"/>
  <c r="N1011" i="17" s="1"/>
  <c r="F1012" i="17"/>
  <c r="F1016" i="17"/>
  <c r="H1022" i="17"/>
  <c r="K1022" i="17" s="1"/>
  <c r="O1022" i="17" s="1"/>
  <c r="P1022" i="17" s="1"/>
  <c r="H1042" i="17"/>
  <c r="H1974" i="17" s="1"/>
  <c r="I1042" i="17"/>
  <c r="I1974" i="17" s="1"/>
  <c r="J1042" i="17"/>
  <c r="J1974" i="17" s="1"/>
  <c r="H1045" i="17"/>
  <c r="I1045" i="17"/>
  <c r="I1044" i="17" s="1"/>
  <c r="F1047" i="17"/>
  <c r="H1054" i="17"/>
  <c r="F1055" i="17"/>
  <c r="F1056" i="17"/>
  <c r="G1062" i="17"/>
  <c r="G1036" i="17" s="1"/>
  <c r="G1041" i="17" s="1"/>
  <c r="J1062" i="17"/>
  <c r="J1036" i="17" s="1"/>
  <c r="J1041" i="17" s="1"/>
  <c r="F1064" i="17"/>
  <c r="F1065" i="17"/>
  <c r="F1067" i="17"/>
  <c r="I1067" i="17"/>
  <c r="F1075" i="17"/>
  <c r="H1075" i="17"/>
  <c r="H1081" i="17"/>
  <c r="F1082" i="17"/>
  <c r="M1082" i="17" s="1"/>
  <c r="N1082" i="17" s="1"/>
  <c r="F1084" i="17"/>
  <c r="H1110" i="17"/>
  <c r="K1110" i="17" s="1"/>
  <c r="O1110" i="17" s="1"/>
  <c r="P1110" i="17" s="1"/>
  <c r="H1113" i="17"/>
  <c r="K1113" i="17" s="1"/>
  <c r="O1113" i="17" s="1"/>
  <c r="P1113" i="17" s="1"/>
  <c r="J1135" i="17"/>
  <c r="G1136" i="17"/>
  <c r="G1135" i="17" s="1"/>
  <c r="H1136" i="17"/>
  <c r="H1135" i="17" s="1"/>
  <c r="I1136" i="17"/>
  <c r="G1137" i="17"/>
  <c r="H1137" i="17"/>
  <c r="F1140" i="17"/>
  <c r="M1140" i="17" s="1"/>
  <c r="N1140" i="17" s="1"/>
  <c r="F1141" i="17"/>
  <c r="M1141" i="17" s="1"/>
  <c r="N1141" i="17" s="1"/>
  <c r="F1143" i="17"/>
  <c r="M1143" i="17" s="1"/>
  <c r="N1143" i="17" s="1"/>
  <c r="I1143" i="17"/>
  <c r="F1144" i="17"/>
  <c r="M1144" i="17" s="1"/>
  <c r="N1144" i="17" s="1"/>
  <c r="I1144" i="17"/>
  <c r="G1147" i="17"/>
  <c r="G1146" i="17" s="1"/>
  <c r="J1147" i="17"/>
  <c r="J1146" i="17" s="1"/>
  <c r="F1148" i="17"/>
  <c r="H1148" i="17"/>
  <c r="I1148" i="17"/>
  <c r="J1148" i="17"/>
  <c r="F1153" i="17"/>
  <c r="H1153" i="17"/>
  <c r="H1147" i="17" s="1"/>
  <c r="H1146" i="17" s="1"/>
  <c r="I1153" i="17"/>
  <c r="I1147" i="17" s="1"/>
  <c r="I1146" i="17" s="1"/>
  <c r="F1158" i="17"/>
  <c r="M1158" i="17" s="1"/>
  <c r="N1158" i="17" s="1"/>
  <c r="F1160" i="17"/>
  <c r="F1162" i="17"/>
  <c r="F1163" i="17"/>
  <c r="G1168" i="17"/>
  <c r="H1168" i="17"/>
  <c r="J1168" i="17"/>
  <c r="F1169" i="17"/>
  <c r="M1169" i="17" s="1"/>
  <c r="N1169" i="17" s="1"/>
  <c r="G1169" i="17"/>
  <c r="H1169" i="17"/>
  <c r="I1169" i="17"/>
  <c r="J1169" i="17"/>
  <c r="F1171" i="17"/>
  <c r="M1171" i="17" s="1"/>
  <c r="N1171" i="17" s="1"/>
  <c r="I1171" i="17"/>
  <c r="I1168" i="17" s="1"/>
  <c r="F1173" i="17"/>
  <c r="G1180" i="17"/>
  <c r="H1180" i="17"/>
  <c r="I1180" i="17"/>
  <c r="J1180" i="17"/>
  <c r="F1181" i="17"/>
  <c r="G1181" i="17"/>
  <c r="H1181" i="17"/>
  <c r="I1181" i="17"/>
  <c r="J1181" i="17"/>
  <c r="F1183" i="17"/>
  <c r="F1189" i="17"/>
  <c r="G1192" i="17"/>
  <c r="H1192" i="17"/>
  <c r="J1192" i="17"/>
  <c r="F1194" i="17"/>
  <c r="F1195" i="17"/>
  <c r="I1197" i="17"/>
  <c r="F1198" i="17"/>
  <c r="F1212" i="17"/>
  <c r="I1219" i="17"/>
  <c r="K1219" i="17" s="1"/>
  <c r="O1219" i="17" s="1"/>
  <c r="P1219" i="17" s="1"/>
  <c r="F1247" i="17"/>
  <c r="H1247" i="17"/>
  <c r="H1252" i="17" s="1"/>
  <c r="I1247" i="17"/>
  <c r="I1252" i="17" s="1"/>
  <c r="J1247" i="17"/>
  <c r="J1252" i="17" s="1"/>
  <c r="F1253" i="17"/>
  <c r="M1253" i="17" s="1"/>
  <c r="N1253" i="17" s="1"/>
  <c r="H1253" i="17"/>
  <c r="H1976" i="17" s="1"/>
  <c r="I1253" i="17"/>
  <c r="I1976" i="17" s="1"/>
  <c r="J1253" i="17"/>
  <c r="J1976" i="17" s="1"/>
  <c r="H1270" i="17"/>
  <c r="H1275" i="17" s="1"/>
  <c r="I1270" i="17"/>
  <c r="I1275" i="17" s="1"/>
  <c r="J1270" i="17"/>
  <c r="J1275" i="17" s="1"/>
  <c r="M1273" i="17"/>
  <c r="N1273" i="17" s="1"/>
  <c r="F1276" i="17"/>
  <c r="M1276" i="17" s="1"/>
  <c r="N1276" i="17" s="1"/>
  <c r="H1276" i="17"/>
  <c r="H1977" i="17" s="1"/>
  <c r="I1276" i="17"/>
  <c r="I1977" i="17" s="1"/>
  <c r="J1276" i="17"/>
  <c r="J1977" i="17" s="1"/>
  <c r="F1278" i="17"/>
  <c r="F1306" i="17"/>
  <c r="M1306" i="17" s="1"/>
  <c r="N1306" i="17" s="1"/>
  <c r="H1306" i="17"/>
  <c r="H1978" i="17" s="1"/>
  <c r="I1306" i="17"/>
  <c r="I1978" i="17" s="1"/>
  <c r="J1306" i="17"/>
  <c r="J1978" i="17" s="1"/>
  <c r="F1308" i="17"/>
  <c r="J1308" i="17"/>
  <c r="F1313" i="17"/>
  <c r="I1313" i="17"/>
  <c r="I1312" i="17" s="1"/>
  <c r="J1313" i="17"/>
  <c r="J1312" i="17" s="1"/>
  <c r="F1321" i="17"/>
  <c r="J1321" i="17"/>
  <c r="F1322" i="17"/>
  <c r="J1322" i="17"/>
  <c r="F1331" i="17"/>
  <c r="M1331" i="17" s="1"/>
  <c r="N1331" i="17" s="1"/>
  <c r="J1331" i="17"/>
  <c r="F1335" i="17"/>
  <c r="G1335" i="17"/>
  <c r="H1335" i="17"/>
  <c r="H1301" i="17" s="1"/>
  <c r="H1305" i="17" s="1"/>
  <c r="I1335" i="17"/>
  <c r="J1335" i="17"/>
  <c r="M1362" i="17"/>
  <c r="N1362" i="17" s="1"/>
  <c r="H2005" i="17"/>
  <c r="F1366" i="17"/>
  <c r="M1366" i="17" s="1"/>
  <c r="N1366" i="17" s="1"/>
  <c r="F1368" i="17"/>
  <c r="M1368" i="17" s="1"/>
  <c r="N1368" i="17" s="1"/>
  <c r="H1369" i="17"/>
  <c r="I1369" i="17"/>
  <c r="I1368" i="17" s="1"/>
  <c r="J1369" i="17"/>
  <c r="J1368" i="17" s="1"/>
  <c r="H1370" i="17"/>
  <c r="I1370" i="17"/>
  <c r="J1370" i="17"/>
  <c r="J1366" i="17" s="1"/>
  <c r="J1979" i="17" s="1"/>
  <c r="F1377" i="17"/>
  <c r="M1377" i="17" s="1"/>
  <c r="N1377" i="17" s="1"/>
  <c r="H1377" i="17"/>
  <c r="H1376" i="17" s="1"/>
  <c r="I1377" i="17"/>
  <c r="I1376" i="17" s="1"/>
  <c r="J1377" i="17"/>
  <c r="J1376" i="17" s="1"/>
  <c r="F1383" i="17"/>
  <c r="M1383" i="17" s="1"/>
  <c r="N1383" i="17" s="1"/>
  <c r="H1383" i="17"/>
  <c r="I1383" i="17"/>
  <c r="J1383" i="17"/>
  <c r="F1388" i="17"/>
  <c r="H1388" i="17"/>
  <c r="I1388" i="17"/>
  <c r="J1388" i="17"/>
  <c r="I1391" i="17"/>
  <c r="K1391" i="17" s="1"/>
  <c r="O1391" i="17" s="1"/>
  <c r="P1391" i="17" s="1"/>
  <c r="H1395" i="17"/>
  <c r="I1395" i="17"/>
  <c r="F1397" i="17"/>
  <c r="M1397" i="17" s="1"/>
  <c r="N1397" i="17" s="1"/>
  <c r="H1397" i="17"/>
  <c r="I1398" i="17"/>
  <c r="K1398" i="17" s="1"/>
  <c r="O1398" i="17" s="1"/>
  <c r="P1398" i="17" s="1"/>
  <c r="F1401" i="17"/>
  <c r="M1401" i="17" s="1"/>
  <c r="N1401" i="17" s="1"/>
  <c r="H1401" i="17"/>
  <c r="J1401" i="17"/>
  <c r="I1403" i="17"/>
  <c r="K1403" i="17" s="1"/>
  <c r="O1403" i="17" s="1"/>
  <c r="P1403" i="17" s="1"/>
  <c r="I1404" i="17"/>
  <c r="K1404" i="17" s="1"/>
  <c r="O1404" i="17" s="1"/>
  <c r="P1404" i="17" s="1"/>
  <c r="I1407" i="17"/>
  <c r="K1407" i="17" s="1"/>
  <c r="O1407" i="17" s="1"/>
  <c r="P1407" i="17" s="1"/>
  <c r="I1424" i="17"/>
  <c r="K1424" i="17" s="1"/>
  <c r="O1424" i="17" s="1"/>
  <c r="P1424" i="17" s="1"/>
  <c r="M1447" i="17"/>
  <c r="N1447" i="17" s="1"/>
  <c r="H2006" i="17"/>
  <c r="H1449" i="17"/>
  <c r="H1980" i="17" s="1"/>
  <c r="I1449" i="17"/>
  <c r="I1980" i="17" s="1"/>
  <c r="I1451" i="17"/>
  <c r="F1452" i="17"/>
  <c r="M1452" i="17" s="1"/>
  <c r="N1452" i="17" s="1"/>
  <c r="H1452" i="17"/>
  <c r="H1451" i="17" s="1"/>
  <c r="I1452" i="17"/>
  <c r="J1452" i="17"/>
  <c r="J1451" i="17" s="1"/>
  <c r="H1458" i="17"/>
  <c r="H1457" i="17" s="1"/>
  <c r="I1458" i="17"/>
  <c r="I1457" i="17" s="1"/>
  <c r="J1458" i="17"/>
  <c r="J1457" i="17" s="1"/>
  <c r="F1460" i="17"/>
  <c r="F1461" i="17"/>
  <c r="F1467" i="17"/>
  <c r="F1470" i="17"/>
  <c r="M1470" i="17" s="1"/>
  <c r="N1470" i="17" s="1"/>
  <c r="I1470" i="17"/>
  <c r="H1472" i="17"/>
  <c r="J1472" i="17"/>
  <c r="J1470" i="17" s="1"/>
  <c r="J1473" i="17"/>
  <c r="M1498" i="17"/>
  <c r="N1498" i="17" s="1"/>
  <c r="F1500" i="17"/>
  <c r="M1500" i="17" s="1"/>
  <c r="N1500" i="17" s="1"/>
  <c r="G1500" i="17"/>
  <c r="G1981" i="17" s="1"/>
  <c r="H1500" i="17"/>
  <c r="H1981" i="17" s="1"/>
  <c r="I1500" i="17"/>
  <c r="I1981" i="17" s="1"/>
  <c r="J1500" i="17"/>
  <c r="J1981" i="17" s="1"/>
  <c r="F1502" i="17"/>
  <c r="I1502" i="17"/>
  <c r="J1502" i="17"/>
  <c r="F1507" i="17"/>
  <c r="M1507" i="17" s="1"/>
  <c r="N1507" i="17" s="1"/>
  <c r="I1507" i="17"/>
  <c r="I1506" i="17" s="1"/>
  <c r="J1507" i="17"/>
  <c r="F1513" i="17"/>
  <c r="I1513" i="17"/>
  <c r="I1512" i="17" s="1"/>
  <c r="J1513" i="17"/>
  <c r="J1512" i="17" s="1"/>
  <c r="F1520" i="17"/>
  <c r="G1520" i="17"/>
  <c r="G1518" i="17" s="1"/>
  <c r="H1520" i="17"/>
  <c r="H1518" i="17" s="1"/>
  <c r="I1520" i="17"/>
  <c r="J1520" i="17"/>
  <c r="F1525" i="17"/>
  <c r="M1525" i="17" s="1"/>
  <c r="N1525" i="17" s="1"/>
  <c r="I1525" i="17"/>
  <c r="J1525" i="17"/>
  <c r="F1534" i="17"/>
  <c r="M1534" i="17" s="1"/>
  <c r="N1534" i="17" s="1"/>
  <c r="G1534" i="17"/>
  <c r="H1534" i="17"/>
  <c r="F1538" i="17"/>
  <c r="M1538" i="17" s="1"/>
  <c r="N1538" i="17" s="1"/>
  <c r="G1538" i="17"/>
  <c r="J1538" i="17"/>
  <c r="H1543" i="17"/>
  <c r="I1543" i="17"/>
  <c r="I1538" i="17" s="1"/>
  <c r="G1573" i="17"/>
  <c r="G1982" i="17" s="1"/>
  <c r="I1573" i="17"/>
  <c r="I1982" i="17" s="1"/>
  <c r="J1573" i="17"/>
  <c r="J1982" i="17" s="1"/>
  <c r="F1575" i="17"/>
  <c r="G1575" i="17"/>
  <c r="H1575" i="17"/>
  <c r="I1575" i="17"/>
  <c r="J1575" i="17"/>
  <c r="F1580" i="17"/>
  <c r="M1580" i="17" s="1"/>
  <c r="N1580" i="17" s="1"/>
  <c r="G1580" i="17"/>
  <c r="G1579" i="17" s="1"/>
  <c r="H1580" i="17"/>
  <c r="H1579" i="17" s="1"/>
  <c r="J1580" i="17"/>
  <c r="J1579" i="17" s="1"/>
  <c r="H1583" i="17"/>
  <c r="K1583" i="17" s="1"/>
  <c r="O1583" i="17" s="1"/>
  <c r="P1583" i="17" s="1"/>
  <c r="F1587" i="17"/>
  <c r="M1587" i="17" s="1"/>
  <c r="N1587" i="17" s="1"/>
  <c r="G1587" i="17"/>
  <c r="G1585" i="17" s="1"/>
  <c r="H1587" i="17"/>
  <c r="H1585" i="17" s="1"/>
  <c r="J1587" i="17"/>
  <c r="J1585" i="17" s="1"/>
  <c r="F1596" i="17"/>
  <c r="I1596" i="17"/>
  <c r="G1599" i="17"/>
  <c r="H1599" i="17"/>
  <c r="I1599" i="17"/>
  <c r="J1599" i="17"/>
  <c r="F1601" i="17"/>
  <c r="M1601" i="17" s="1"/>
  <c r="N1601" i="17" s="1"/>
  <c r="F1602" i="17"/>
  <c r="F1610" i="17"/>
  <c r="H1620" i="17"/>
  <c r="K1620" i="17" s="1"/>
  <c r="O1620" i="17" s="1"/>
  <c r="P1620" i="17" s="1"/>
  <c r="M1634" i="17"/>
  <c r="N1634" i="17" s="1"/>
  <c r="F1639" i="17"/>
  <c r="M1639" i="17" s="1"/>
  <c r="N1639" i="17" s="1"/>
  <c r="G1639" i="17"/>
  <c r="G1638" i="17" s="1"/>
  <c r="H1639" i="17"/>
  <c r="H1638" i="17" s="1"/>
  <c r="I1639" i="17"/>
  <c r="I1638" i="17" s="1"/>
  <c r="J1639" i="17"/>
  <c r="J1638" i="17" s="1"/>
  <c r="F1640" i="17"/>
  <c r="M1640" i="17" s="1"/>
  <c r="N1640" i="17" s="1"/>
  <c r="G1640" i="17"/>
  <c r="G1636" i="17" s="1"/>
  <c r="G1983" i="17" s="1"/>
  <c r="H1640" i="17"/>
  <c r="H1636" i="17" s="1"/>
  <c r="H1983" i="17" s="1"/>
  <c r="I1640" i="17"/>
  <c r="J1640" i="17"/>
  <c r="J1636" i="17" s="1"/>
  <c r="J1983" i="17" s="1"/>
  <c r="F1646" i="17"/>
  <c r="M1646" i="17" s="1"/>
  <c r="N1646" i="17" s="1"/>
  <c r="I1646" i="17"/>
  <c r="J1646" i="17"/>
  <c r="J1645" i="17" s="1"/>
  <c r="F1653" i="17"/>
  <c r="M1653" i="17" s="1"/>
  <c r="N1653" i="17" s="1"/>
  <c r="G1653" i="17"/>
  <c r="H1653" i="17"/>
  <c r="J1653" i="17"/>
  <c r="I1655" i="17"/>
  <c r="K1655" i="17" s="1"/>
  <c r="O1655" i="17" s="1"/>
  <c r="P1655" i="17" s="1"/>
  <c r="F1658" i="17"/>
  <c r="G1658" i="17"/>
  <c r="H1658" i="17"/>
  <c r="I1658" i="17"/>
  <c r="J1658" i="17"/>
  <c r="F1663" i="17"/>
  <c r="M1663" i="17" s="1"/>
  <c r="N1663" i="17" s="1"/>
  <c r="G1663" i="17"/>
  <c r="I1663" i="17"/>
  <c r="J1663" i="17"/>
  <c r="I1666" i="17"/>
  <c r="K1666" i="17" s="1"/>
  <c r="O1666" i="17" s="1"/>
  <c r="P1666" i="17" s="1"/>
  <c r="H1673" i="17"/>
  <c r="F1676" i="17"/>
  <c r="I1676" i="17"/>
  <c r="F1679" i="17"/>
  <c r="M1679" i="17" s="1"/>
  <c r="N1679" i="17" s="1"/>
  <c r="G1679" i="17"/>
  <c r="J1679" i="17"/>
  <c r="H1691" i="17"/>
  <c r="I1697" i="17"/>
  <c r="K1697" i="17" s="1"/>
  <c r="O1697" i="17" s="1"/>
  <c r="P1697" i="17" s="1"/>
  <c r="M1710" i="17"/>
  <c r="N1710" i="17" s="1"/>
  <c r="H2010" i="17"/>
  <c r="F1712" i="17"/>
  <c r="M1712" i="17" s="1"/>
  <c r="N1712" i="17" s="1"/>
  <c r="I1712" i="17"/>
  <c r="I1984" i="17" s="1"/>
  <c r="J1712" i="17"/>
  <c r="J1984" i="17" s="1"/>
  <c r="F1714" i="17"/>
  <c r="H1714" i="17"/>
  <c r="J1714" i="17"/>
  <c r="F1719" i="17"/>
  <c r="M1719" i="17" s="1"/>
  <c r="N1719" i="17" s="1"/>
  <c r="H1719" i="17"/>
  <c r="J1719" i="17"/>
  <c r="J1718" i="17" s="1"/>
  <c r="F1725" i="17"/>
  <c r="M1725" i="17" s="1"/>
  <c r="N1725" i="17" s="1"/>
  <c r="H1725" i="17"/>
  <c r="H1724" i="17" s="1"/>
  <c r="J1725" i="17"/>
  <c r="J1724" i="17" s="1"/>
  <c r="F1734" i="17"/>
  <c r="F1737" i="17"/>
  <c r="M1737" i="17" s="1"/>
  <c r="N1737" i="17" s="1"/>
  <c r="I1737" i="17"/>
  <c r="I1707" i="17" s="1"/>
  <c r="I1711" i="17" s="1"/>
  <c r="J1737" i="17"/>
  <c r="H1752" i="17"/>
  <c r="K1752" i="17" s="1"/>
  <c r="O1752" i="17" s="1"/>
  <c r="P1752" i="17" s="1"/>
  <c r="H1753" i="17"/>
  <c r="K1753" i="17" s="1"/>
  <c r="O1753" i="17" s="1"/>
  <c r="P1753" i="17" s="1"/>
  <c r="M1765" i="17"/>
  <c r="N1765" i="17" s="1"/>
  <c r="K1766" i="17"/>
  <c r="O1766" i="17" s="1"/>
  <c r="P1766" i="17" s="1"/>
  <c r="G1768" i="17"/>
  <c r="G1985" i="17" s="1"/>
  <c r="H1768" i="17"/>
  <c r="H1985" i="17" s="1"/>
  <c r="I1768" i="17"/>
  <c r="I1985" i="17" s="1"/>
  <c r="F1770" i="17"/>
  <c r="M1770" i="17" s="1"/>
  <c r="N1770" i="17" s="1"/>
  <c r="G1770" i="17"/>
  <c r="H1770" i="17"/>
  <c r="I1771" i="17"/>
  <c r="I1770" i="17" s="1"/>
  <c r="J1771" i="17"/>
  <c r="F1772" i="17"/>
  <c r="M1772" i="17" s="1"/>
  <c r="N1772" i="17" s="1"/>
  <c r="J1772" i="17"/>
  <c r="J1768" i="17" s="1"/>
  <c r="J1985" i="17" s="1"/>
  <c r="F1775" i="17"/>
  <c r="F1780" i="17"/>
  <c r="M1780" i="17" s="1"/>
  <c r="N1780" i="17" s="1"/>
  <c r="G1780" i="17"/>
  <c r="G1779" i="17" s="1"/>
  <c r="H1780" i="17"/>
  <c r="H1779" i="17" s="1"/>
  <c r="I1780" i="17"/>
  <c r="I1779" i="17" s="1"/>
  <c r="J1780" i="17"/>
  <c r="J1779" i="17" s="1"/>
  <c r="F1787" i="17"/>
  <c r="G1787" i="17"/>
  <c r="G1786" i="17" s="1"/>
  <c r="H1787" i="17"/>
  <c r="H1786" i="17" s="1"/>
  <c r="I1787" i="17"/>
  <c r="I1786" i="17" s="1"/>
  <c r="J1787" i="17"/>
  <c r="J1786" i="17" s="1"/>
  <c r="F1796" i="17"/>
  <c r="I1796" i="17"/>
  <c r="F1799" i="17"/>
  <c r="M1799" i="17" s="1"/>
  <c r="N1799" i="17" s="1"/>
  <c r="G1799" i="17"/>
  <c r="H1799" i="17"/>
  <c r="I1799" i="17"/>
  <c r="J1799" i="17"/>
  <c r="F1802" i="17"/>
  <c r="G1833" i="17"/>
  <c r="F1834" i="17"/>
  <c r="F1835" i="17"/>
  <c r="I1835" i="17"/>
  <c r="I1833" i="17" s="1"/>
  <c r="H1835" i="17"/>
  <c r="H1833" i="17" s="1"/>
  <c r="O1960" i="17"/>
  <c r="P1960" i="17" s="1"/>
  <c r="F1883" i="17"/>
  <c r="M1883" i="17" s="1"/>
  <c r="N1883" i="17" s="1"/>
  <c r="F1885" i="17"/>
  <c r="M1885" i="17" s="1"/>
  <c r="N1885" i="17" s="1"/>
  <c r="F1886" i="17"/>
  <c r="M1886" i="17" s="1"/>
  <c r="N1886" i="17" s="1"/>
  <c r="F1887" i="17"/>
  <c r="M1887" i="17" s="1"/>
  <c r="N1887" i="17" s="1"/>
  <c r="F1888" i="17"/>
  <c r="M1888" i="17" s="1"/>
  <c r="N1888" i="17" s="1"/>
  <c r="F1889" i="17"/>
  <c r="M1889" i="17" s="1"/>
  <c r="N1889" i="17" s="1"/>
  <c r="F1892" i="17"/>
  <c r="M1892" i="17" s="1"/>
  <c r="N1892" i="17" s="1"/>
  <c r="O1895" i="17"/>
  <c r="O1896" i="17"/>
  <c r="O1897" i="17"/>
  <c r="F1919" i="17"/>
  <c r="M1919" i="17" s="1"/>
  <c r="N1919" i="17" s="1"/>
  <c r="F1921" i="17"/>
  <c r="M1921" i="17" s="1"/>
  <c r="N1921" i="17" s="1"/>
  <c r="F1922" i="17"/>
  <c r="M1922" i="17" s="1"/>
  <c r="N1922" i="17" s="1"/>
  <c r="F1923" i="17"/>
  <c r="M1923" i="17" s="1"/>
  <c r="N1923" i="17" s="1"/>
  <c r="F1924" i="17"/>
  <c r="M1924" i="17" s="1"/>
  <c r="N1924" i="17" s="1"/>
  <c r="F1925" i="17"/>
  <c r="M1925" i="17" s="1"/>
  <c r="N1925" i="17" s="1"/>
  <c r="F1927" i="17"/>
  <c r="M1927" i="17" s="1"/>
  <c r="N1927" i="17" s="1"/>
  <c r="O1930" i="17"/>
  <c r="O1937" i="17"/>
  <c r="O1940" i="17"/>
  <c r="F1954" i="17"/>
  <c r="M1954" i="17" s="1"/>
  <c r="N1954" i="17" s="1"/>
  <c r="F1956" i="17"/>
  <c r="M1956" i="17" s="1"/>
  <c r="N1956" i="17" s="1"/>
  <c r="F1957" i="17"/>
  <c r="M1957" i="17" s="1"/>
  <c r="N1957" i="17" s="1"/>
  <c r="F1958" i="17"/>
  <c r="M1958" i="17" s="1"/>
  <c r="N1958" i="17" s="1"/>
  <c r="F1959" i="17"/>
  <c r="M1959" i="17" s="1"/>
  <c r="N1959" i="17" s="1"/>
  <c r="F1960" i="17"/>
  <c r="M1960" i="17" s="1"/>
  <c r="N1960" i="17" s="1"/>
  <c r="O1964" i="17"/>
  <c r="O1965" i="17"/>
  <c r="O1989" i="17"/>
  <c r="F1990" i="17"/>
  <c r="M1990" i="17" s="1"/>
  <c r="N1990" i="17" s="1"/>
  <c r="F1991" i="17"/>
  <c r="M1991" i="17" s="1"/>
  <c r="N1991" i="17" s="1"/>
  <c r="F1992" i="17"/>
  <c r="M1992" i="17" s="1"/>
  <c r="N1992" i="17" s="1"/>
  <c r="F1995" i="17"/>
  <c r="M1995" i="17" s="1"/>
  <c r="N1995" i="17" s="1"/>
  <c r="O1996" i="17"/>
  <c r="O1999" i="17"/>
  <c r="F2005" i="17"/>
  <c r="M2005" i="17" s="1"/>
  <c r="N2005" i="17" s="1"/>
  <c r="K2024" i="17"/>
  <c r="K2025" i="17"/>
  <c r="K2026" i="17"/>
  <c r="K2027" i="17"/>
  <c r="K2028" i="17"/>
  <c r="K2029" i="17"/>
  <c r="K2030" i="17"/>
  <c r="K2031" i="17"/>
  <c r="K2032" i="17"/>
  <c r="K2033" i="17"/>
  <c r="K2034" i="17"/>
  <c r="K2035" i="17"/>
  <c r="K2036" i="17"/>
  <c r="K2037" i="17"/>
  <c r="K2038" i="17"/>
  <c r="K2039" i="17"/>
  <c r="K2040" i="17"/>
  <c r="K2041" i="17"/>
  <c r="K2042" i="17"/>
  <c r="K2043" i="17"/>
  <c r="K2044" i="17"/>
  <c r="K2045" i="17"/>
  <c r="K2046" i="17"/>
  <c r="K2047" i="17"/>
  <c r="K2048" i="17"/>
  <c r="K2049" i="17"/>
  <c r="K2050" i="17"/>
  <c r="K2051" i="17"/>
  <c r="K2052" i="17"/>
  <c r="K2053" i="17"/>
  <c r="K2054" i="17"/>
  <c r="K2055" i="17"/>
  <c r="K2056" i="17"/>
  <c r="K2057" i="17"/>
  <c r="K2058" i="17"/>
  <c r="K2059" i="17"/>
  <c r="K2060" i="17"/>
  <c r="K2061" i="17"/>
  <c r="K323" i="17" l="1"/>
  <c r="O323" i="17" s="1"/>
  <c r="P323" i="17" s="1"/>
  <c r="K1472" i="17"/>
  <c r="O1472" i="17" s="1"/>
  <c r="P1472" i="17" s="1"/>
  <c r="K1369" i="17"/>
  <c r="O1369" i="17" s="1"/>
  <c r="P1369" i="17" s="1"/>
  <c r="F1993" i="17"/>
  <c r="M1993" i="17" s="1"/>
  <c r="N1993" i="17" s="1"/>
  <c r="J1249" i="17"/>
  <c r="J1943" i="17"/>
  <c r="J978" i="17"/>
  <c r="J1939" i="17"/>
  <c r="H294" i="17"/>
  <c r="H1934" i="17"/>
  <c r="I1709" i="17"/>
  <c r="I1951" i="17"/>
  <c r="I1249" i="17"/>
  <c r="I1943" i="17"/>
  <c r="H2012" i="17"/>
  <c r="H1249" i="17"/>
  <c r="H1943" i="17"/>
  <c r="J1038" i="17"/>
  <c r="J1941" i="17"/>
  <c r="H1303" i="17"/>
  <c r="H1945" i="17"/>
  <c r="G1038" i="17"/>
  <c r="G1941" i="17"/>
  <c r="G978" i="17"/>
  <c r="G1939" i="17"/>
  <c r="J1272" i="17"/>
  <c r="J1944" i="17"/>
  <c r="I1272" i="17"/>
  <c r="I1944" i="17"/>
  <c r="H1272" i="17"/>
  <c r="H1944" i="17"/>
  <c r="K513" i="17"/>
  <c r="O513" i="17" s="1"/>
  <c r="P513" i="17" s="1"/>
  <c r="J29" i="17"/>
  <c r="J1932" i="17"/>
  <c r="J294" i="17"/>
  <c r="J1934" i="17"/>
  <c r="G29" i="17"/>
  <c r="G1932" i="17"/>
  <c r="G11" i="17"/>
  <c r="K1395" i="17"/>
  <c r="O1395" i="17" s="1"/>
  <c r="P1395" i="17" s="1"/>
  <c r="K634" i="17"/>
  <c r="O634" i="17" s="1"/>
  <c r="P634" i="17" s="1"/>
  <c r="K497" i="17"/>
  <c r="O497" i="17" s="1"/>
  <c r="P497" i="17" s="1"/>
  <c r="K1250" i="17"/>
  <c r="M1250" i="17"/>
  <c r="N1250" i="17" s="1"/>
  <c r="K1163" i="17"/>
  <c r="O1163" i="17" s="1"/>
  <c r="P1163" i="17" s="1"/>
  <c r="M1163" i="17"/>
  <c r="N1163" i="17" s="1"/>
  <c r="K645" i="17"/>
  <c r="O645" i="17" s="1"/>
  <c r="P645" i="17" s="1"/>
  <c r="M645" i="17"/>
  <c r="N645" i="17" s="1"/>
  <c r="K264" i="17"/>
  <c r="O264" i="17" s="1"/>
  <c r="P264" i="17" s="1"/>
  <c r="M264" i="17"/>
  <c r="N264" i="17" s="1"/>
  <c r="K38" i="17"/>
  <c r="O38" i="17" s="1"/>
  <c r="P38" i="17" s="1"/>
  <c r="M38" i="17"/>
  <c r="N38" i="17" s="1"/>
  <c r="K19" i="17"/>
  <c r="O19" i="17" s="1"/>
  <c r="P19" i="17" s="1"/>
  <c r="M19" i="17"/>
  <c r="N19" i="17" s="1"/>
  <c r="K1461" i="17"/>
  <c r="O1461" i="17" s="1"/>
  <c r="P1461" i="17" s="1"/>
  <c r="M1461" i="17"/>
  <c r="N1461" i="17" s="1"/>
  <c r="K1173" i="17"/>
  <c r="O1173" i="17" s="1"/>
  <c r="P1173" i="17" s="1"/>
  <c r="M1173" i="17"/>
  <c r="N1173" i="17" s="1"/>
  <c r="K1162" i="17"/>
  <c r="O1162" i="17" s="1"/>
  <c r="P1162" i="17" s="1"/>
  <c r="M1162" i="17"/>
  <c r="N1162" i="17" s="1"/>
  <c r="K1131" i="17"/>
  <c r="O1131" i="17" s="1"/>
  <c r="P1131" i="17" s="1"/>
  <c r="M1131" i="17"/>
  <c r="N1131" i="17" s="1"/>
  <c r="K1065" i="17"/>
  <c r="O1065" i="17" s="1"/>
  <c r="P1065" i="17" s="1"/>
  <c r="M1065" i="17"/>
  <c r="N1065" i="17" s="1"/>
  <c r="K18" i="17"/>
  <c r="O18" i="17" s="1"/>
  <c r="P18" i="17" s="1"/>
  <c r="M18" i="17"/>
  <c r="N18" i="17" s="1"/>
  <c r="K1834" i="17"/>
  <c r="M1834" i="17"/>
  <c r="N1834" i="17" s="1"/>
  <c r="K1460" i="17"/>
  <c r="O1460" i="17" s="1"/>
  <c r="P1460" i="17" s="1"/>
  <c r="M1460" i="17"/>
  <c r="N1460" i="17" s="1"/>
  <c r="K1160" i="17"/>
  <c r="O1160" i="17" s="1"/>
  <c r="P1160" i="17" s="1"/>
  <c r="M1160" i="17"/>
  <c r="N1160" i="17" s="1"/>
  <c r="K1130" i="17"/>
  <c r="O1130" i="17" s="1"/>
  <c r="P1130" i="17" s="1"/>
  <c r="M1130" i="17"/>
  <c r="N1130" i="17" s="1"/>
  <c r="K1064" i="17"/>
  <c r="O1064" i="17" s="1"/>
  <c r="P1064" i="17" s="1"/>
  <c r="M1064" i="17"/>
  <c r="N1064" i="17" s="1"/>
  <c r="K1040" i="17"/>
  <c r="O1040" i="17" s="1"/>
  <c r="P1040" i="17" s="1"/>
  <c r="M1040" i="17"/>
  <c r="N1040" i="17" s="1"/>
  <c r="K15" i="17"/>
  <c r="O15" i="17" s="1"/>
  <c r="P15" i="17" s="1"/>
  <c r="M15" i="17"/>
  <c r="N15" i="17" s="1"/>
  <c r="K1183" i="17"/>
  <c r="O1183" i="17" s="1"/>
  <c r="P1183" i="17" s="1"/>
  <c r="M1183" i="17"/>
  <c r="N1183" i="17" s="1"/>
  <c r="K1129" i="17"/>
  <c r="M1129" i="17"/>
  <c r="N1129" i="17" s="1"/>
  <c r="K1039" i="17"/>
  <c r="M1039" i="17"/>
  <c r="N1039" i="17" s="1"/>
  <c r="K628" i="17"/>
  <c r="O628" i="17" s="1"/>
  <c r="P628" i="17" s="1"/>
  <c r="M628" i="17"/>
  <c r="N628" i="17" s="1"/>
  <c r="K35" i="17"/>
  <c r="O35" i="17" s="1"/>
  <c r="P35" i="17" s="1"/>
  <c r="M35" i="17"/>
  <c r="N35" i="17" s="1"/>
  <c r="K14" i="17"/>
  <c r="O14" i="17" s="1"/>
  <c r="P14" i="17" s="1"/>
  <c r="M14" i="17"/>
  <c r="N14" i="17" s="1"/>
  <c r="K1802" i="17"/>
  <c r="O1802" i="17" s="1"/>
  <c r="P1802" i="17" s="1"/>
  <c r="M1802" i="17"/>
  <c r="N1802" i="17" s="1"/>
  <c r="K34" i="17"/>
  <c r="O34" i="17" s="1"/>
  <c r="P34" i="17" s="1"/>
  <c r="M34" i="17"/>
  <c r="N34" i="17" s="1"/>
  <c r="K1056" i="17"/>
  <c r="O1056" i="17" s="1"/>
  <c r="P1056" i="17" s="1"/>
  <c r="M1056" i="17"/>
  <c r="N1056" i="17" s="1"/>
  <c r="K1016" i="17"/>
  <c r="O1016" i="17" s="1"/>
  <c r="M1016" i="17"/>
  <c r="N1016" i="17" s="1"/>
  <c r="K1212" i="17"/>
  <c r="O1212" i="17" s="1"/>
  <c r="P1212" i="17" s="1"/>
  <c r="M1212" i="17"/>
  <c r="N1212" i="17" s="1"/>
  <c r="K1153" i="17"/>
  <c r="O1153" i="17" s="1"/>
  <c r="P1153" i="17" s="1"/>
  <c r="M1153" i="17"/>
  <c r="N1153" i="17" s="1"/>
  <c r="K1084" i="17"/>
  <c r="O1084" i="17" s="1"/>
  <c r="P1084" i="17" s="1"/>
  <c r="M1084" i="17"/>
  <c r="N1084" i="17" s="1"/>
  <c r="K1055" i="17"/>
  <c r="O1055" i="17" s="1"/>
  <c r="P1055" i="17" s="1"/>
  <c r="M1055" i="17"/>
  <c r="N1055" i="17" s="1"/>
  <c r="K1012" i="17"/>
  <c r="O1012" i="17" s="1"/>
  <c r="P1012" i="17" s="1"/>
  <c r="M1012" i="17"/>
  <c r="N1012" i="17" s="1"/>
  <c r="K755" i="17"/>
  <c r="O755" i="17" s="1"/>
  <c r="P755" i="17" s="1"/>
  <c r="M755" i="17"/>
  <c r="N755" i="17" s="1"/>
  <c r="K469" i="17"/>
  <c r="O469" i="17" s="1"/>
  <c r="P469" i="17" s="1"/>
  <c r="K256" i="17"/>
  <c r="O256" i="17" s="1"/>
  <c r="P256" i="17" s="1"/>
  <c r="M256" i="17"/>
  <c r="N256" i="17" s="1"/>
  <c r="K1198" i="17"/>
  <c r="O1198" i="17" s="1"/>
  <c r="P1198" i="17" s="1"/>
  <c r="M1198" i="17"/>
  <c r="N1198" i="17" s="1"/>
  <c r="K743" i="17"/>
  <c r="O743" i="17" s="1"/>
  <c r="P743" i="17" s="1"/>
  <c r="M743" i="17"/>
  <c r="N743" i="17" s="1"/>
  <c r="K254" i="17"/>
  <c r="O254" i="17" s="1"/>
  <c r="P254" i="17" s="1"/>
  <c r="M254" i="17"/>
  <c r="N254" i="17" s="1"/>
  <c r="K10" i="17"/>
  <c r="M10" i="17"/>
  <c r="N10" i="17" s="1"/>
  <c r="K1047" i="17"/>
  <c r="O1047" i="17" s="1"/>
  <c r="P1047" i="17" s="1"/>
  <c r="M1047" i="17"/>
  <c r="N1047" i="17" s="1"/>
  <c r="K30" i="17"/>
  <c r="M30" i="17"/>
  <c r="N30" i="17" s="1"/>
  <c r="K1610" i="17"/>
  <c r="O1610" i="17" s="1"/>
  <c r="P1610" i="17" s="1"/>
  <c r="M1610" i="17"/>
  <c r="N1610" i="17" s="1"/>
  <c r="K1195" i="17"/>
  <c r="O1195" i="17" s="1"/>
  <c r="P1195" i="17" s="1"/>
  <c r="M1195" i="17"/>
  <c r="N1195" i="17" s="1"/>
  <c r="K296" i="17"/>
  <c r="O296" i="17" s="1"/>
  <c r="P296" i="17" s="1"/>
  <c r="M296" i="17"/>
  <c r="N296" i="17" s="1"/>
  <c r="K67" i="17"/>
  <c r="O67" i="17" s="1"/>
  <c r="P67" i="17" s="1"/>
  <c r="M67" i="17"/>
  <c r="N67" i="17" s="1"/>
  <c r="K1775" i="17"/>
  <c r="O1775" i="17" s="1"/>
  <c r="P1775" i="17" s="1"/>
  <c r="M1775" i="17"/>
  <c r="N1775" i="17" s="1"/>
  <c r="K1602" i="17"/>
  <c r="O1602" i="17" s="1"/>
  <c r="P1602" i="17" s="1"/>
  <c r="M1602" i="17"/>
  <c r="N1602" i="17" s="1"/>
  <c r="K1304" i="17"/>
  <c r="M1304" i="17"/>
  <c r="N1304" i="17" s="1"/>
  <c r="K1194" i="17"/>
  <c r="O1194" i="17" s="1"/>
  <c r="P1194" i="17" s="1"/>
  <c r="M1194" i="17"/>
  <c r="N1194" i="17" s="1"/>
  <c r="K660" i="17"/>
  <c r="O660" i="17" s="1"/>
  <c r="P660" i="17" s="1"/>
  <c r="M660" i="17"/>
  <c r="N660" i="17" s="1"/>
  <c r="K66" i="17"/>
  <c r="O66" i="17" s="1"/>
  <c r="P66" i="17" s="1"/>
  <c r="M66" i="17"/>
  <c r="N66" i="17" s="1"/>
  <c r="K1571" i="17"/>
  <c r="M1571" i="17"/>
  <c r="N1571" i="17" s="1"/>
  <c r="K1278" i="17"/>
  <c r="O1278" i="17" s="1"/>
  <c r="P1278" i="17" s="1"/>
  <c r="M1278" i="17"/>
  <c r="N1278" i="17" s="1"/>
  <c r="K979" i="17"/>
  <c r="M979" i="17"/>
  <c r="N979" i="17" s="1"/>
  <c r="K854" i="17"/>
  <c r="O854" i="17" s="1"/>
  <c r="P854" i="17" s="1"/>
  <c r="M854" i="17"/>
  <c r="N854" i="17" s="1"/>
  <c r="K505" i="17"/>
  <c r="O505" i="17" s="1"/>
  <c r="P505" i="17" s="1"/>
  <c r="K498" i="17"/>
  <c r="O498" i="17" s="1"/>
  <c r="P498" i="17" s="1"/>
  <c r="K490" i="17"/>
  <c r="O490" i="17" s="1"/>
  <c r="P490" i="17" s="1"/>
  <c r="K1772" i="17"/>
  <c r="O1772" i="17" s="1"/>
  <c r="P1772" i="17" s="1"/>
  <c r="K1658" i="17"/>
  <c r="O1658" i="17" s="1"/>
  <c r="P1658" i="17" s="1"/>
  <c r="M1658" i="17"/>
  <c r="N1658" i="17" s="1"/>
  <c r="K1502" i="17"/>
  <c r="O1502" i="17" s="1"/>
  <c r="P1502" i="17" s="1"/>
  <c r="M1502" i="17"/>
  <c r="N1502" i="17" s="1"/>
  <c r="K1467" i="17"/>
  <c r="O1467" i="17" s="1"/>
  <c r="P1467" i="17" s="1"/>
  <c r="M1467" i="17"/>
  <c r="N1467" i="17" s="1"/>
  <c r="K1321" i="17"/>
  <c r="O1321" i="17" s="1"/>
  <c r="P1321" i="17" s="1"/>
  <c r="M1321" i="17"/>
  <c r="N1321" i="17" s="1"/>
  <c r="K1067" i="17"/>
  <c r="O1067" i="17" s="1"/>
  <c r="P1067" i="17" s="1"/>
  <c r="M1067" i="17"/>
  <c r="N1067" i="17" s="1"/>
  <c r="K996" i="17"/>
  <c r="O996" i="17" s="1"/>
  <c r="P996" i="17" s="1"/>
  <c r="M996" i="17"/>
  <c r="N996" i="17" s="1"/>
  <c r="K230" i="17"/>
  <c r="O230" i="17" s="1"/>
  <c r="P230" i="17" s="1"/>
  <c r="M230" i="17"/>
  <c r="N230" i="17" s="1"/>
  <c r="K193" i="17"/>
  <c r="O193" i="17" s="1"/>
  <c r="P193" i="17" s="1"/>
  <c r="M193" i="17"/>
  <c r="N193" i="17" s="1"/>
  <c r="K1835" i="17"/>
  <c r="O1835" i="17" s="1"/>
  <c r="P1835" i="17" s="1"/>
  <c r="M1835" i="17"/>
  <c r="N1835" i="17" s="1"/>
  <c r="K1714" i="17"/>
  <c r="O1714" i="17" s="1"/>
  <c r="P1714" i="17" s="1"/>
  <c r="M1714" i="17"/>
  <c r="N1714" i="17" s="1"/>
  <c r="K1676" i="17"/>
  <c r="O1676" i="17" s="1"/>
  <c r="P1676" i="17" s="1"/>
  <c r="M1676" i="17"/>
  <c r="N1676" i="17" s="1"/>
  <c r="K1189" i="17"/>
  <c r="O1189" i="17" s="1"/>
  <c r="P1189" i="17" s="1"/>
  <c r="M1189" i="17"/>
  <c r="N1189" i="17" s="1"/>
  <c r="K545" i="17"/>
  <c r="O545" i="17" s="1"/>
  <c r="P545" i="17" s="1"/>
  <c r="M545" i="17"/>
  <c r="N545" i="17" s="1"/>
  <c r="K1520" i="17"/>
  <c r="O1520" i="17" s="1"/>
  <c r="P1520" i="17" s="1"/>
  <c r="M1520" i="17"/>
  <c r="N1520" i="17" s="1"/>
  <c r="K1313" i="17"/>
  <c r="O1313" i="17" s="1"/>
  <c r="P1313" i="17" s="1"/>
  <c r="M1313" i="17"/>
  <c r="N1313" i="17" s="1"/>
  <c r="K571" i="17"/>
  <c r="O571" i="17" s="1"/>
  <c r="P571" i="17" s="1"/>
  <c r="M571" i="17"/>
  <c r="N571" i="17" s="1"/>
  <c r="K463" i="17"/>
  <c r="O463" i="17" s="1"/>
  <c r="P463" i="17" s="1"/>
  <c r="M463" i="17"/>
  <c r="N463" i="17" s="1"/>
  <c r="K269" i="17"/>
  <c r="O269" i="17" s="1"/>
  <c r="P269" i="17" s="1"/>
  <c r="M269" i="17"/>
  <c r="N269" i="17" s="1"/>
  <c r="K192" i="17"/>
  <c r="O192" i="17" s="1"/>
  <c r="P192" i="17" s="1"/>
  <c r="M192" i="17"/>
  <c r="N192" i="17" s="1"/>
  <c r="K1787" i="17"/>
  <c r="O1787" i="17" s="1"/>
  <c r="P1787" i="17" s="1"/>
  <c r="M1787" i="17"/>
  <c r="N1787" i="17" s="1"/>
  <c r="K1734" i="17"/>
  <c r="O1734" i="17" s="1"/>
  <c r="P1734" i="17" s="1"/>
  <c r="M1734" i="17"/>
  <c r="N1734" i="17" s="1"/>
  <c r="K1247" i="17"/>
  <c r="O1247" i="17" s="1"/>
  <c r="P1247" i="17" s="1"/>
  <c r="M1247" i="17"/>
  <c r="N1247" i="17" s="1"/>
  <c r="K384" i="17"/>
  <c r="O384" i="17" s="1"/>
  <c r="P384" i="17" s="1"/>
  <c r="M384" i="17"/>
  <c r="N384" i="17" s="1"/>
  <c r="K303" i="17"/>
  <c r="O303" i="17" s="1"/>
  <c r="P303" i="17" s="1"/>
  <c r="M303" i="17"/>
  <c r="N303" i="17" s="1"/>
  <c r="K104" i="17"/>
  <c r="O104" i="17" s="1"/>
  <c r="P104" i="17" s="1"/>
  <c r="M104" i="17"/>
  <c r="N104" i="17" s="1"/>
  <c r="K1596" i="17"/>
  <c r="O1596" i="17" s="1"/>
  <c r="P1596" i="17" s="1"/>
  <c r="M1596" i="17"/>
  <c r="N1596" i="17" s="1"/>
  <c r="K1308" i="17"/>
  <c r="O1308" i="17" s="1"/>
  <c r="P1308" i="17" s="1"/>
  <c r="M1308" i="17"/>
  <c r="N1308" i="17" s="1"/>
  <c r="K869" i="17"/>
  <c r="O869" i="17" s="1"/>
  <c r="P869" i="17" s="1"/>
  <c r="M869" i="17"/>
  <c r="N869" i="17" s="1"/>
  <c r="K95" i="17"/>
  <c r="O95" i="17" s="1"/>
  <c r="P95" i="17" s="1"/>
  <c r="M95" i="17"/>
  <c r="N95" i="17" s="1"/>
  <c r="K1513" i="17"/>
  <c r="O1513" i="17" s="1"/>
  <c r="P1513" i="17" s="1"/>
  <c r="M1513" i="17"/>
  <c r="N1513" i="17" s="1"/>
  <c r="K1370" i="17"/>
  <c r="O1370" i="17" s="1"/>
  <c r="P1370" i="17" s="1"/>
  <c r="K1335" i="17"/>
  <c r="O1335" i="17" s="1"/>
  <c r="P1335" i="17" s="1"/>
  <c r="M1335" i="17"/>
  <c r="N1335" i="17" s="1"/>
  <c r="K1575" i="17"/>
  <c r="O1575" i="17" s="1"/>
  <c r="P1575" i="17" s="1"/>
  <c r="M1575" i="17"/>
  <c r="N1575" i="17" s="1"/>
  <c r="K1388" i="17"/>
  <c r="O1388" i="17" s="1"/>
  <c r="P1388" i="17" s="1"/>
  <c r="M1388" i="17"/>
  <c r="N1388" i="17" s="1"/>
  <c r="K798" i="17"/>
  <c r="O798" i="17" s="1"/>
  <c r="P798" i="17" s="1"/>
  <c r="M798" i="17"/>
  <c r="N798" i="17" s="1"/>
  <c r="K540" i="17"/>
  <c r="O540" i="17" s="1"/>
  <c r="P540" i="17" s="1"/>
  <c r="M540" i="17"/>
  <c r="N540" i="17" s="1"/>
  <c r="K1181" i="17"/>
  <c r="O1181" i="17" s="1"/>
  <c r="P1181" i="17" s="1"/>
  <c r="M1181" i="17"/>
  <c r="N1181" i="17" s="1"/>
  <c r="K864" i="17"/>
  <c r="O864" i="17" s="1"/>
  <c r="P864" i="17" s="1"/>
  <c r="M864" i="17"/>
  <c r="N864" i="17" s="1"/>
  <c r="K448" i="17"/>
  <c r="O448" i="17" s="1"/>
  <c r="P448" i="17" s="1"/>
  <c r="M448" i="17"/>
  <c r="N448" i="17" s="1"/>
  <c r="K237" i="17"/>
  <c r="O237" i="17" s="1"/>
  <c r="P237" i="17" s="1"/>
  <c r="M237" i="17"/>
  <c r="N237" i="17" s="1"/>
  <c r="K1322" i="17"/>
  <c r="O1322" i="17" s="1"/>
  <c r="P1322" i="17" s="1"/>
  <c r="M1322" i="17"/>
  <c r="N1322" i="17" s="1"/>
  <c r="K1148" i="17"/>
  <c r="O1148" i="17" s="1"/>
  <c r="P1148" i="17" s="1"/>
  <c r="M1148" i="17"/>
  <c r="N1148" i="17" s="1"/>
  <c r="K1075" i="17"/>
  <c r="O1075" i="17" s="1"/>
  <c r="P1075" i="17" s="1"/>
  <c r="M1075" i="17"/>
  <c r="N1075" i="17" s="1"/>
  <c r="K546" i="17"/>
  <c r="O546" i="17" s="1"/>
  <c r="P546" i="17" s="1"/>
  <c r="M546" i="17"/>
  <c r="N546" i="17" s="1"/>
  <c r="K371" i="17"/>
  <c r="O371" i="17" s="1"/>
  <c r="P371" i="17" s="1"/>
  <c r="M371" i="17"/>
  <c r="N371" i="17" s="1"/>
  <c r="K1796" i="17"/>
  <c r="O1796" i="17" s="1"/>
  <c r="P1796" i="17" s="1"/>
  <c r="M1796" i="17"/>
  <c r="N1796" i="17" s="1"/>
  <c r="F2009" i="17"/>
  <c r="M2009" i="17" s="1"/>
  <c r="N2009" i="17" s="1"/>
  <c r="K1377" i="17"/>
  <c r="O1377" i="17" s="1"/>
  <c r="P1377" i="17" s="1"/>
  <c r="F1979" i="17"/>
  <c r="M1979" i="17" s="1"/>
  <c r="N1979" i="17" s="1"/>
  <c r="F1168" i="17"/>
  <c r="K1171" i="17"/>
  <c r="O1171" i="17" s="1"/>
  <c r="P1171" i="17" s="1"/>
  <c r="K484" i="17"/>
  <c r="O484" i="17" s="1"/>
  <c r="P484" i="17" s="1"/>
  <c r="F2006" i="17"/>
  <c r="M2006" i="17" s="1"/>
  <c r="N2006" i="17" s="1"/>
  <c r="K1143" i="17"/>
  <c r="O1143" i="17" s="1"/>
  <c r="P1143" i="17" s="1"/>
  <c r="K935" i="17"/>
  <c r="O935" i="17" s="1"/>
  <c r="P935" i="17" s="1"/>
  <c r="F667" i="17"/>
  <c r="M667" i="17" s="1"/>
  <c r="N667" i="17" s="1"/>
  <c r="K491" i="17"/>
  <c r="O491" i="17" s="1"/>
  <c r="P491" i="17" s="1"/>
  <c r="G467" i="17"/>
  <c r="K468" i="17"/>
  <c r="O468" i="17" s="1"/>
  <c r="P468" i="17" s="1"/>
  <c r="F319" i="17"/>
  <c r="M319" i="17" s="1"/>
  <c r="N319" i="17" s="1"/>
  <c r="F1984" i="17"/>
  <c r="M1984" i="17" s="1"/>
  <c r="N1984" i="17" s="1"/>
  <c r="H1679" i="17"/>
  <c r="K1691" i="17"/>
  <c r="O1691" i="17" s="1"/>
  <c r="P1691" i="17" s="1"/>
  <c r="F1585" i="17"/>
  <c r="K1587" i="17"/>
  <c r="O1587" i="17" s="1"/>
  <c r="P1587" i="17" s="1"/>
  <c r="F1978" i="17"/>
  <c r="M1978" i="17" s="1"/>
  <c r="N1978" i="17" s="1"/>
  <c r="K1306" i="17"/>
  <c r="K1799" i="17"/>
  <c r="O1799" i="17" s="1"/>
  <c r="P1799" i="17" s="1"/>
  <c r="F2011" i="17"/>
  <c r="M2011" i="17" s="1"/>
  <c r="N2011" i="17" s="1"/>
  <c r="K1525" i="17"/>
  <c r="O1525" i="17" s="1"/>
  <c r="P1525" i="17" s="1"/>
  <c r="F1137" i="17"/>
  <c r="F1133" i="17" s="1"/>
  <c r="K1141" i="17"/>
  <c r="O1141" i="17" s="1"/>
  <c r="P1141" i="17" s="1"/>
  <c r="F858" i="17"/>
  <c r="K859" i="17"/>
  <c r="O859" i="17" s="1"/>
  <c r="P859" i="17" s="1"/>
  <c r="K662" i="17"/>
  <c r="O662" i="17" s="1"/>
  <c r="P662" i="17" s="1"/>
  <c r="F412" i="17"/>
  <c r="M412" i="17" s="1"/>
  <c r="N412" i="17" s="1"/>
  <c r="K322" i="17"/>
  <c r="O322" i="17" s="1"/>
  <c r="P322" i="17" s="1"/>
  <c r="K212" i="17"/>
  <c r="O212" i="17" s="1"/>
  <c r="P212" i="17" s="1"/>
  <c r="K1710" i="17"/>
  <c r="H1663" i="17"/>
  <c r="K1663" i="17" s="1"/>
  <c r="O1663" i="17" s="1"/>
  <c r="P1663" i="17" s="1"/>
  <c r="K1673" i="17"/>
  <c r="O1673" i="17" s="1"/>
  <c r="P1673" i="17" s="1"/>
  <c r="K1331" i="17"/>
  <c r="O1331" i="17" s="1"/>
  <c r="P1331" i="17" s="1"/>
  <c r="F1976" i="17"/>
  <c r="M1976" i="17" s="1"/>
  <c r="N1976" i="17" s="1"/>
  <c r="K1253" i="17"/>
  <c r="F1136" i="17"/>
  <c r="F1135" i="17" s="1"/>
  <c r="K1140" i="17"/>
  <c r="O1140" i="17" s="1"/>
  <c r="P1140" i="17" s="1"/>
  <c r="K1011" i="17"/>
  <c r="O1011" i="17" s="1"/>
  <c r="P1011" i="17" s="1"/>
  <c r="F1973" i="17"/>
  <c r="M1973" i="17" s="1"/>
  <c r="N1973" i="17" s="1"/>
  <c r="K982" i="17"/>
  <c r="K483" i="17"/>
  <c r="O483" i="17" s="1"/>
  <c r="P483" i="17" s="1"/>
  <c r="K37" i="17"/>
  <c r="O37" i="17" s="1"/>
  <c r="P37" i="17" s="1"/>
  <c r="J1770" i="17"/>
  <c r="K1770" i="17" s="1"/>
  <c r="O1770" i="17" s="1"/>
  <c r="P1770" i="17" s="1"/>
  <c r="K1771" i="17"/>
  <c r="O1771" i="17" s="1"/>
  <c r="P1771" i="17" s="1"/>
  <c r="F1718" i="17"/>
  <c r="M1718" i="17" s="1"/>
  <c r="N1718" i="17" s="1"/>
  <c r="K1719" i="17"/>
  <c r="O1719" i="17" s="1"/>
  <c r="P1719" i="17" s="1"/>
  <c r="F1636" i="17"/>
  <c r="M1636" i="17" s="1"/>
  <c r="N1636" i="17" s="1"/>
  <c r="K1640" i="17"/>
  <c r="O1640" i="17" s="1"/>
  <c r="P1640" i="17" s="1"/>
  <c r="K661" i="17"/>
  <c r="O661" i="17" s="1"/>
  <c r="P661" i="17" s="1"/>
  <c r="K1383" i="17"/>
  <c r="O1383" i="17" s="1"/>
  <c r="P1383" i="17" s="1"/>
  <c r="K1169" i="17"/>
  <c r="O1169" i="17" s="1"/>
  <c r="P1169" i="17" s="1"/>
  <c r="K1158" i="17"/>
  <c r="O1158" i="17" s="1"/>
  <c r="P1158" i="17" s="1"/>
  <c r="K1082" i="17"/>
  <c r="O1082" i="17" s="1"/>
  <c r="P1082" i="17" s="1"/>
  <c r="F797" i="17"/>
  <c r="K812" i="17"/>
  <c r="O812" i="17" s="1"/>
  <c r="P812" i="17" s="1"/>
  <c r="I476" i="17"/>
  <c r="K476" i="17" s="1"/>
  <c r="O476" i="17" s="1"/>
  <c r="P476" i="17" s="1"/>
  <c r="K480" i="17"/>
  <c r="O480" i="17" s="1"/>
  <c r="P480" i="17" s="1"/>
  <c r="F1994" i="17"/>
  <c r="M1994" i="17" s="1"/>
  <c r="N1994" i="17" s="1"/>
  <c r="F1969" i="17"/>
  <c r="M1969" i="17" s="1"/>
  <c r="N1969" i="17" s="1"/>
  <c r="K298" i="17"/>
  <c r="F1981" i="17"/>
  <c r="M1981" i="17" s="1"/>
  <c r="N1981" i="17" s="1"/>
  <c r="K1500" i="17"/>
  <c r="F1451" i="17"/>
  <c r="K1452" i="17"/>
  <c r="O1452" i="17" s="1"/>
  <c r="P1452" i="17" s="1"/>
  <c r="F1997" i="17"/>
  <c r="M1997" i="17" s="1"/>
  <c r="N1997" i="17" s="1"/>
  <c r="K262" i="17"/>
  <c r="O262" i="17" s="1"/>
  <c r="P262" i="17" s="1"/>
  <c r="K1534" i="17"/>
  <c r="O1534" i="17" s="1"/>
  <c r="P1534" i="17" s="1"/>
  <c r="F2007" i="17"/>
  <c r="M2007" i="17" s="1"/>
  <c r="N2007" i="17" s="1"/>
  <c r="F703" i="17"/>
  <c r="M703" i="17" s="1"/>
  <c r="N703" i="17" s="1"/>
  <c r="K706" i="17"/>
  <c r="O706" i="17" s="1"/>
  <c r="P706" i="17" s="1"/>
  <c r="K211" i="17"/>
  <c r="O211" i="17" s="1"/>
  <c r="P211" i="17" s="1"/>
  <c r="K1601" i="17"/>
  <c r="O1601" i="17" s="1"/>
  <c r="P1601" i="17" s="1"/>
  <c r="F1506" i="17"/>
  <c r="M1506" i="17" s="1"/>
  <c r="N1506" i="17" s="1"/>
  <c r="K1507" i="17"/>
  <c r="O1507" i="17" s="1"/>
  <c r="P1507" i="17" s="1"/>
  <c r="J1449" i="17"/>
  <c r="J1980" i="17" s="1"/>
  <c r="K1473" i="17"/>
  <c r="O1473" i="17" s="1"/>
  <c r="P1473" i="17" s="1"/>
  <c r="F1977" i="17"/>
  <c r="M1977" i="17" s="1"/>
  <c r="N1977" i="17" s="1"/>
  <c r="K1276" i="17"/>
  <c r="F1645" i="17"/>
  <c r="M1645" i="17" s="1"/>
  <c r="N1645" i="17" s="1"/>
  <c r="K1646" i="17"/>
  <c r="O1646" i="17" s="1"/>
  <c r="P1646" i="17" s="1"/>
  <c r="F1638" i="17"/>
  <c r="K1639" i="17"/>
  <c r="O1639" i="17" s="1"/>
  <c r="P1639" i="17" s="1"/>
  <c r="F1579" i="17"/>
  <c r="K1580" i="17"/>
  <c r="O1580" i="17" s="1"/>
  <c r="P1580" i="17" s="1"/>
  <c r="F2003" i="17"/>
  <c r="M2003" i="17" s="1"/>
  <c r="N2003" i="17" s="1"/>
  <c r="K1273" i="17"/>
  <c r="F984" i="17"/>
  <c r="K985" i="17"/>
  <c r="O985" i="17" s="1"/>
  <c r="P985" i="17" s="1"/>
  <c r="K477" i="17"/>
  <c r="O477" i="17" s="1"/>
  <c r="P477" i="17" s="1"/>
  <c r="F1779" i="17"/>
  <c r="K1780" i="17"/>
  <c r="O1780" i="17" s="1"/>
  <c r="P1780" i="17" s="1"/>
  <c r="F1724" i="17"/>
  <c r="K1725" i="17"/>
  <c r="O1725" i="17" s="1"/>
  <c r="P1725" i="17" s="1"/>
  <c r="H1538" i="17"/>
  <c r="K1538" i="17" s="1"/>
  <c r="O1538" i="17" s="1"/>
  <c r="P1538" i="17" s="1"/>
  <c r="K1543" i="17"/>
  <c r="O1543" i="17" s="1"/>
  <c r="P1543" i="17" s="1"/>
  <c r="K1144" i="17"/>
  <c r="O1144" i="17" s="1"/>
  <c r="P1144" i="17" s="1"/>
  <c r="K279" i="17"/>
  <c r="O279" i="17" s="1"/>
  <c r="P279" i="17" s="1"/>
  <c r="K243" i="17"/>
  <c r="O243" i="17" s="1"/>
  <c r="P243" i="17" s="1"/>
  <c r="H729" i="17"/>
  <c r="H666" i="17" s="1"/>
  <c r="O1926" i="17"/>
  <c r="P1926" i="17" s="1"/>
  <c r="O1961" i="17"/>
  <c r="P1961" i="17" s="1"/>
  <c r="O1890" i="17"/>
  <c r="P1890" i="17" s="1"/>
  <c r="J11" i="17"/>
  <c r="I11" i="17"/>
  <c r="I1931" i="17" s="1"/>
  <c r="H11" i="17"/>
  <c r="H1931" i="17" s="1"/>
  <c r="F2010" i="17"/>
  <c r="M2010" i="17" s="1"/>
  <c r="N2010" i="17" s="1"/>
  <c r="F1042" i="17"/>
  <c r="M1042" i="17" s="1"/>
  <c r="N1042" i="17" s="1"/>
  <c r="F1920" i="17"/>
  <c r="M1920" i="17" s="1"/>
  <c r="N1920" i="17" s="1"/>
  <c r="F1045" i="17"/>
  <c r="F1449" i="17"/>
  <c r="M1449" i="17" s="1"/>
  <c r="N1449" i="17" s="1"/>
  <c r="F1458" i="17"/>
  <c r="F1457" i="17" s="1"/>
  <c r="F315" i="17"/>
  <c r="M315" i="17" s="1"/>
  <c r="N315" i="17" s="1"/>
  <c r="F1955" i="17"/>
  <c r="F2008" i="17"/>
  <c r="F2004" i="17"/>
  <c r="F2001" i="17"/>
  <c r="I29" i="17"/>
  <c r="O1922" i="17"/>
  <c r="P1922" i="17" s="1"/>
  <c r="O1957" i="17"/>
  <c r="P1957" i="17" s="1"/>
  <c r="F1998" i="17"/>
  <c r="H1382" i="17"/>
  <c r="F2002" i="17"/>
  <c r="F736" i="17"/>
  <c r="H228" i="17"/>
  <c r="J729" i="17"/>
  <c r="J666" i="17" s="1"/>
  <c r="F268" i="17"/>
  <c r="F2000" i="17"/>
  <c r="F1180" i="17"/>
  <c r="F617" i="17"/>
  <c r="I314" i="17"/>
  <c r="F1833" i="17"/>
  <c r="F1518" i="17"/>
  <c r="M1518" i="17" s="1"/>
  <c r="N1518" i="17" s="1"/>
  <c r="J1167" i="17"/>
  <c r="J1126" i="17" s="1"/>
  <c r="J1132" i="17" s="1"/>
  <c r="J1942" i="17" s="1"/>
  <c r="G664" i="17"/>
  <c r="G1972" i="17" s="1"/>
  <c r="H1573" i="17"/>
  <c r="H1982" i="17" s="1"/>
  <c r="F1768" i="17"/>
  <c r="M1768" i="17" s="1"/>
  <c r="N1768" i="17" s="1"/>
  <c r="I1636" i="17"/>
  <c r="I1983" i="17" s="1"/>
  <c r="O1888" i="17"/>
  <c r="P1888" i="17" s="1"/>
  <c r="O1883" i="17"/>
  <c r="P1883" i="17" s="1"/>
  <c r="G1651" i="17"/>
  <c r="G1631" i="17" s="1"/>
  <c r="G1635" i="17" s="1"/>
  <c r="G1950" i="17" s="1"/>
  <c r="H1044" i="17"/>
  <c r="I552" i="17"/>
  <c r="I1518" i="17"/>
  <c r="I1495" i="17" s="1"/>
  <c r="H520" i="17"/>
  <c r="F7" i="17"/>
  <c r="I356" i="17"/>
  <c r="K356" i="17" s="1"/>
  <c r="O356" i="17" s="1"/>
  <c r="P356" i="17" s="1"/>
  <c r="O1958" i="17"/>
  <c r="P1958" i="17" s="1"/>
  <c r="O1887" i="17"/>
  <c r="P1887" i="17" s="1"/>
  <c r="O1927" i="17"/>
  <c r="P1927" i="17" s="1"/>
  <c r="J1301" i="17"/>
  <c r="J1305" i="17" s="1"/>
  <c r="J1945" i="17" s="1"/>
  <c r="I1301" i="17"/>
  <c r="I1305" i="17" s="1"/>
  <c r="I1945" i="17" s="1"/>
  <c r="O1892" i="17"/>
  <c r="P1892" i="17" s="1"/>
  <c r="H1651" i="17"/>
  <c r="H1631" i="17" s="1"/>
  <c r="H1635" i="17" s="1"/>
  <c r="H1950" i="17" s="1"/>
  <c r="F1147" i="17"/>
  <c r="M1147" i="17" s="1"/>
  <c r="N1147" i="17" s="1"/>
  <c r="F1005" i="17"/>
  <c r="M1005" i="17" s="1"/>
  <c r="N1005" i="17" s="1"/>
  <c r="F383" i="17"/>
  <c r="J829" i="17"/>
  <c r="H1167" i="17"/>
  <c r="H1126" i="17" s="1"/>
  <c r="H1132" i="17" s="1"/>
  <c r="H1942" i="17" s="1"/>
  <c r="H850" i="17"/>
  <c r="H831" i="17" s="1"/>
  <c r="H829" i="17" s="1"/>
  <c r="H389" i="17"/>
  <c r="H597" i="17"/>
  <c r="K597" i="17" s="1"/>
  <c r="O597" i="17" s="1"/>
  <c r="P597" i="17" s="1"/>
  <c r="F191" i="17"/>
  <c r="M191" i="17" s="1"/>
  <c r="N191" i="17" s="1"/>
  <c r="H27" i="17"/>
  <c r="H31" i="17" s="1"/>
  <c r="H1932" i="17" s="1"/>
  <c r="J1444" i="17"/>
  <c r="J1448" i="17" s="1"/>
  <c r="J1947" i="17" s="1"/>
  <c r="F1651" i="17"/>
  <c r="M1651" i="17" s="1"/>
  <c r="N1651" i="17" s="1"/>
  <c r="I1653" i="17"/>
  <c r="I1651" i="17" s="1"/>
  <c r="O1889" i="17"/>
  <c r="P1889" i="17" s="1"/>
  <c r="O1885" i="17"/>
  <c r="P1885" i="17" s="1"/>
  <c r="F1599" i="17"/>
  <c r="O1886" i="17"/>
  <c r="P1886" i="17" s="1"/>
  <c r="I1444" i="17"/>
  <c r="I1382" i="17"/>
  <c r="J1651" i="17"/>
  <c r="J1631" i="17" s="1"/>
  <c r="J1635" i="17" s="1"/>
  <c r="J1950" i="17" s="1"/>
  <c r="J1518" i="17"/>
  <c r="F1376" i="17"/>
  <c r="J1707" i="17"/>
  <c r="J1711" i="17" s="1"/>
  <c r="J1951" i="17" s="1"/>
  <c r="I1568" i="17"/>
  <c r="I1572" i="17" s="1"/>
  <c r="I1949" i="17" s="1"/>
  <c r="G1495" i="17"/>
  <c r="G1499" i="17" s="1"/>
  <c r="G1948" i="17" s="1"/>
  <c r="F1197" i="17"/>
  <c r="H1133" i="17"/>
  <c r="H1975" i="17" s="1"/>
  <c r="I1133" i="17"/>
  <c r="I1975" i="17" s="1"/>
  <c r="I1005" i="17"/>
  <c r="I989" i="17" s="1"/>
  <c r="I976" i="17" s="1"/>
  <c r="I981" i="17" s="1"/>
  <c r="I1939" i="17" s="1"/>
  <c r="F852" i="17"/>
  <c r="M852" i="17" s="1"/>
  <c r="N852" i="17" s="1"/>
  <c r="F1312" i="17"/>
  <c r="G1133" i="17"/>
  <c r="G1975" i="17" s="1"/>
  <c r="H1062" i="17"/>
  <c r="F1054" i="17"/>
  <c r="I1135" i="17"/>
  <c r="G1167" i="17"/>
  <c r="G1126" i="17" s="1"/>
  <c r="G1132" i="17" s="1"/>
  <c r="G1942" i="17" s="1"/>
  <c r="F1382" i="17"/>
  <c r="M1382" i="17" s="1"/>
  <c r="N1382" i="17" s="1"/>
  <c r="I1192" i="17"/>
  <c r="I850" i="17"/>
  <c r="I831" i="17" s="1"/>
  <c r="I829" i="17" s="1"/>
  <c r="G703" i="17"/>
  <c r="I682" i="17"/>
  <c r="I667" i="17" s="1"/>
  <c r="I419" i="17"/>
  <c r="I412" i="17" s="1"/>
  <c r="I389" i="17" s="1"/>
  <c r="I522" i="17"/>
  <c r="K522" i="17" s="1"/>
  <c r="O522" i="17" s="1"/>
  <c r="P522" i="17" s="1"/>
  <c r="I514" i="17"/>
  <c r="K514" i="17" s="1"/>
  <c r="O514" i="17" s="1"/>
  <c r="P514" i="17" s="1"/>
  <c r="H315" i="17"/>
  <c r="I683" i="17"/>
  <c r="I668" i="17" s="1"/>
  <c r="F292" i="17"/>
  <c r="F520" i="17"/>
  <c r="M520" i="17" s="1"/>
  <c r="N520" i="17" s="1"/>
  <c r="I504" i="17"/>
  <c r="K504" i="17" s="1"/>
  <c r="O504" i="17" s="1"/>
  <c r="P504" i="17" s="1"/>
  <c r="G552" i="17"/>
  <c r="J520" i="17"/>
  <c r="H465" i="17"/>
  <c r="H1971" i="17" s="1"/>
  <c r="H370" i="17"/>
  <c r="K370" i="17" s="1"/>
  <c r="O370" i="17" s="1"/>
  <c r="P370" i="17" s="1"/>
  <c r="I320" i="17"/>
  <c r="K320" i="17" s="1"/>
  <c r="O320" i="17" s="1"/>
  <c r="P320" i="17" s="1"/>
  <c r="I357" i="17"/>
  <c r="K357" i="17" s="1"/>
  <c r="O357" i="17" s="1"/>
  <c r="F12" i="17"/>
  <c r="M12" i="17" s="1"/>
  <c r="N12" i="17" s="1"/>
  <c r="J72" i="17"/>
  <c r="J77" i="17" s="1"/>
  <c r="F27" i="17"/>
  <c r="F1252" i="17"/>
  <c r="M1252" i="17" s="1"/>
  <c r="N1252" i="17" s="1"/>
  <c r="I467" i="17"/>
  <c r="G389" i="17"/>
  <c r="I521" i="17"/>
  <c r="K521" i="17" s="1"/>
  <c r="O521" i="17" s="1"/>
  <c r="P521" i="17" s="1"/>
  <c r="G520" i="17"/>
  <c r="J475" i="17"/>
  <c r="J552" i="17"/>
  <c r="H475" i="17"/>
  <c r="J465" i="17"/>
  <c r="J1971" i="17" s="1"/>
  <c r="G475" i="17"/>
  <c r="G465" i="17"/>
  <c r="G1971" i="17" s="1"/>
  <c r="I359" i="17"/>
  <c r="K359" i="17" s="1"/>
  <c r="O359" i="17" s="1"/>
  <c r="P359" i="17" s="1"/>
  <c r="F465" i="17"/>
  <c r="M465" i="17" s="1"/>
  <c r="N465" i="17" s="1"/>
  <c r="G319" i="17"/>
  <c r="I358" i="17"/>
  <c r="K358" i="17" s="1"/>
  <c r="O358" i="17" s="1"/>
  <c r="P358" i="17" s="1"/>
  <c r="I335" i="17"/>
  <c r="K335" i="17" s="1"/>
  <c r="O335" i="17" s="1"/>
  <c r="P335" i="17" s="1"/>
  <c r="I347" i="17"/>
  <c r="K347" i="17" s="1"/>
  <c r="O347" i="17" s="1"/>
  <c r="P347" i="17" s="1"/>
  <c r="F317" i="17"/>
  <c r="M317" i="17" s="1"/>
  <c r="N317" i="17" s="1"/>
  <c r="J319" i="17"/>
  <c r="J310" i="17" s="1"/>
  <c r="J316" i="17" s="1"/>
  <c r="J317" i="17"/>
  <c r="J1970" i="17" s="1"/>
  <c r="F236" i="17"/>
  <c r="H314" i="17"/>
  <c r="I336" i="17"/>
  <c r="K336" i="17" s="1"/>
  <c r="O336" i="17" s="1"/>
  <c r="P336" i="17" s="1"/>
  <c r="G317" i="17"/>
  <c r="G1970" i="17" s="1"/>
  <c r="F32" i="17"/>
  <c r="F261" i="17"/>
  <c r="G72" i="17"/>
  <c r="G77" i="17" s="1"/>
  <c r="J78" i="17"/>
  <c r="J1968" i="17" s="1"/>
  <c r="J1986" i="17" s="1"/>
  <c r="I78" i="17"/>
  <c r="I1968" i="17" s="1"/>
  <c r="F78" i="17"/>
  <c r="M78" i="17" s="1"/>
  <c r="N78" i="17" s="1"/>
  <c r="H78" i="17"/>
  <c r="H1968" i="17" s="1"/>
  <c r="H317" i="17"/>
  <c r="H1970" i="17" s="1"/>
  <c r="G78" i="17"/>
  <c r="G1968" i="17" s="1"/>
  <c r="I191" i="17"/>
  <c r="I72" i="17" s="1"/>
  <c r="H191" i="17"/>
  <c r="O1923" i="17"/>
  <c r="P1923" i="17" s="1"/>
  <c r="O1919" i="17"/>
  <c r="P1919" i="17" s="1"/>
  <c r="O1954" i="17"/>
  <c r="P1954" i="17" s="1"/>
  <c r="O1924" i="17"/>
  <c r="P1924" i="17" s="1"/>
  <c r="O1959" i="17"/>
  <c r="P1959" i="17" s="1"/>
  <c r="O1921" i="17"/>
  <c r="P1921" i="17" s="1"/>
  <c r="O1956" i="17"/>
  <c r="P1956" i="17" s="1"/>
  <c r="O1925" i="17"/>
  <c r="P1925" i="17" s="1"/>
  <c r="J1762" i="17"/>
  <c r="J1767" i="17" s="1"/>
  <c r="J1952" i="17" s="1"/>
  <c r="G1762" i="17"/>
  <c r="G1767" i="17" s="1"/>
  <c r="G1952" i="17" s="1"/>
  <c r="H1737" i="17"/>
  <c r="K1737" i="17" s="1"/>
  <c r="O1737" i="17" s="1"/>
  <c r="P1737" i="17" s="1"/>
  <c r="I1762" i="17"/>
  <c r="H1762" i="17"/>
  <c r="H1767" i="17" s="1"/>
  <c r="H1952" i="17" s="1"/>
  <c r="H1712" i="17"/>
  <c r="F1786" i="17"/>
  <c r="I1401" i="17"/>
  <c r="K1401" i="17" s="1"/>
  <c r="O1401" i="17" s="1"/>
  <c r="P1401" i="17" s="1"/>
  <c r="H1718" i="17"/>
  <c r="I1679" i="17"/>
  <c r="K1679" i="17" s="1"/>
  <c r="O1679" i="17" s="1"/>
  <c r="P1679" i="17" s="1"/>
  <c r="F1707" i="17"/>
  <c r="M1707" i="17" s="1"/>
  <c r="N1707" i="17" s="1"/>
  <c r="H1470" i="17"/>
  <c r="K1470" i="17" s="1"/>
  <c r="O1470" i="17" s="1"/>
  <c r="P1470" i="17" s="1"/>
  <c r="H1568" i="17"/>
  <c r="H1572" i="17" s="1"/>
  <c r="H1949" i="17" s="1"/>
  <c r="J1568" i="17"/>
  <c r="J1572" i="17" s="1"/>
  <c r="J1949" i="17" s="1"/>
  <c r="F1573" i="17"/>
  <c r="I1645" i="17"/>
  <c r="I1397" i="17"/>
  <c r="K1397" i="17" s="1"/>
  <c r="O1397" i="17" s="1"/>
  <c r="P1397" i="17" s="1"/>
  <c r="G1568" i="17"/>
  <c r="G1572" i="17" s="1"/>
  <c r="G1949" i="17" s="1"/>
  <c r="J1506" i="17"/>
  <c r="F1512" i="17"/>
  <c r="J1382" i="17"/>
  <c r="I1167" i="17"/>
  <c r="H1368" i="17"/>
  <c r="K1368" i="17" s="1"/>
  <c r="O1368" i="17" s="1"/>
  <c r="P1368" i="17" s="1"/>
  <c r="I1366" i="17"/>
  <c r="I1979" i="17" s="1"/>
  <c r="F1270" i="17"/>
  <c r="H1366" i="17"/>
  <c r="H1979" i="17" s="1"/>
  <c r="J1133" i="17"/>
  <c r="J1975" i="17" s="1"/>
  <c r="F1081" i="17"/>
  <c r="I1062" i="17"/>
  <c r="I1036" i="17" s="1"/>
  <c r="I1041" i="17" s="1"/>
  <c r="I1941" i="17" s="1"/>
  <c r="H989" i="17"/>
  <c r="H976" i="17" s="1"/>
  <c r="H981" i="17" s="1"/>
  <c r="H1939" i="17" s="1"/>
  <c r="I760" i="17"/>
  <c r="I730" i="17" s="1"/>
  <c r="F925" i="17"/>
  <c r="G729" i="17"/>
  <c r="I704" i="17"/>
  <c r="K704" i="17" s="1"/>
  <c r="O704" i="17" s="1"/>
  <c r="P704" i="17" s="1"/>
  <c r="J664" i="17"/>
  <c r="J1972" i="17" s="1"/>
  <c r="H664" i="17"/>
  <c r="H1972" i="17" s="1"/>
  <c r="I759" i="17"/>
  <c r="I729" i="17" s="1"/>
  <c r="F730" i="17"/>
  <c r="M730" i="17" s="1"/>
  <c r="N730" i="17" s="1"/>
  <c r="F668" i="17"/>
  <c r="K314" i="17" l="1"/>
  <c r="O314" i="17" s="1"/>
  <c r="P314" i="17" s="1"/>
  <c r="O1276" i="17"/>
  <c r="P1276" i="17" s="1"/>
  <c r="K1977" i="17"/>
  <c r="O1977" i="17" s="1"/>
  <c r="P1977" i="17" s="1"/>
  <c r="O1710" i="17"/>
  <c r="P1710" i="17" s="1"/>
  <c r="K2010" i="17"/>
  <c r="O2010" i="17" s="1"/>
  <c r="P2010" i="17" s="1"/>
  <c r="O1306" i="17"/>
  <c r="P1306" i="17" s="1"/>
  <c r="K1978" i="17"/>
  <c r="O1978" i="17" s="1"/>
  <c r="P1978" i="17" s="1"/>
  <c r="O1834" i="17"/>
  <c r="P1834" i="17" s="1"/>
  <c r="K1920" i="17"/>
  <c r="O1920" i="17" s="1"/>
  <c r="P1920" i="17" s="1"/>
  <c r="K1955" i="17"/>
  <c r="O1955" i="17" s="1"/>
  <c r="P1955" i="17" s="1"/>
  <c r="O1250" i="17"/>
  <c r="P1250" i="17" s="1"/>
  <c r="K2002" i="17"/>
  <c r="O2002" i="17" s="1"/>
  <c r="P2002" i="17" s="1"/>
  <c r="I9" i="17"/>
  <c r="O30" i="17"/>
  <c r="P30" i="17" s="1"/>
  <c r="K1991" i="17"/>
  <c r="O1991" i="17" s="1"/>
  <c r="P1991" i="17" s="1"/>
  <c r="G74" i="17"/>
  <c r="G1933" i="17"/>
  <c r="J74" i="17"/>
  <c r="J1933" i="17"/>
  <c r="O982" i="17"/>
  <c r="P982" i="17" s="1"/>
  <c r="K1973" i="17"/>
  <c r="O1973" i="17" s="1"/>
  <c r="P1973" i="17" s="1"/>
  <c r="O1571" i="17"/>
  <c r="P1571" i="17" s="1"/>
  <c r="K2008" i="17"/>
  <c r="O2008" i="17" s="1"/>
  <c r="P2008" i="17" s="1"/>
  <c r="J1848" i="17"/>
  <c r="O1273" i="17"/>
  <c r="P1273" i="17" s="1"/>
  <c r="K2003" i="17"/>
  <c r="O2003" i="17" s="1"/>
  <c r="P2003" i="17" s="1"/>
  <c r="O1500" i="17"/>
  <c r="P1500" i="17" s="1"/>
  <c r="K1981" i="17"/>
  <c r="O1981" i="17" s="1"/>
  <c r="P1981" i="17" s="1"/>
  <c r="O10" i="17"/>
  <c r="P10" i="17" s="1"/>
  <c r="K1990" i="17"/>
  <c r="G9" i="17"/>
  <c r="G1931" i="17"/>
  <c r="J312" i="17"/>
  <c r="J1935" i="17"/>
  <c r="O298" i="17"/>
  <c r="P298" i="17" s="1"/>
  <c r="K1969" i="17"/>
  <c r="O1969" i="17" s="1"/>
  <c r="P1969" i="17" s="1"/>
  <c r="O1039" i="17"/>
  <c r="P1039" i="17" s="1"/>
  <c r="K2000" i="17"/>
  <c r="O2000" i="17" s="1"/>
  <c r="P2000" i="17" s="1"/>
  <c r="O1253" i="17"/>
  <c r="P1253" i="17" s="1"/>
  <c r="K1976" i="17"/>
  <c r="O1976" i="17" s="1"/>
  <c r="P1976" i="17" s="1"/>
  <c r="G1986" i="17"/>
  <c r="O1129" i="17"/>
  <c r="P1129" i="17" s="1"/>
  <c r="K2001" i="17"/>
  <c r="K1712" i="17"/>
  <c r="H1984" i="17"/>
  <c r="H1986" i="17" s="1"/>
  <c r="J9" i="17"/>
  <c r="J1931" i="17"/>
  <c r="O979" i="17"/>
  <c r="P979" i="17" s="1"/>
  <c r="K1998" i="17"/>
  <c r="O1998" i="17" s="1"/>
  <c r="P1998" i="17" s="1"/>
  <c r="O1304" i="17"/>
  <c r="P1304" i="17" s="1"/>
  <c r="K2004" i="17"/>
  <c r="O2004" i="17" s="1"/>
  <c r="P2004" i="17" s="1"/>
  <c r="K1366" i="17"/>
  <c r="H1495" i="17"/>
  <c r="H1499" i="17" s="1"/>
  <c r="H1948" i="17" s="1"/>
  <c r="K668" i="17"/>
  <c r="O668" i="17" s="1"/>
  <c r="P668" i="17" s="1"/>
  <c r="M668" i="17"/>
  <c r="N668" i="17" s="1"/>
  <c r="K32" i="17"/>
  <c r="M32" i="17"/>
  <c r="N32" i="17" s="1"/>
  <c r="K1168" i="17"/>
  <c r="O1168" i="17" s="1"/>
  <c r="P1168" i="17" s="1"/>
  <c r="M1168" i="17"/>
  <c r="N1168" i="17" s="1"/>
  <c r="K925" i="17"/>
  <c r="O925" i="17" s="1"/>
  <c r="P925" i="17" s="1"/>
  <c r="M925" i="17"/>
  <c r="N925" i="17" s="1"/>
  <c r="K1135" i="17"/>
  <c r="O1135" i="17" s="1"/>
  <c r="P1135" i="17" s="1"/>
  <c r="M1135" i="17"/>
  <c r="N1135" i="17" s="1"/>
  <c r="K27" i="17"/>
  <c r="O27" i="17" s="1"/>
  <c r="P27" i="17" s="1"/>
  <c r="M27" i="17"/>
  <c r="N27" i="17" s="1"/>
  <c r="K292" i="17"/>
  <c r="O292" i="17" s="1"/>
  <c r="P292" i="17" s="1"/>
  <c r="M292" i="17"/>
  <c r="N292" i="17" s="1"/>
  <c r="K383" i="17"/>
  <c r="O383" i="17" s="1"/>
  <c r="P383" i="17" s="1"/>
  <c r="M383" i="17"/>
  <c r="N383" i="17" s="1"/>
  <c r="M2008" i="17"/>
  <c r="N2008" i="17" s="1"/>
  <c r="K1579" i="17"/>
  <c r="O1579" i="17" s="1"/>
  <c r="P1579" i="17" s="1"/>
  <c r="M1579" i="17"/>
  <c r="N1579" i="17" s="1"/>
  <c r="K1136" i="17"/>
  <c r="O1136" i="17" s="1"/>
  <c r="P1136" i="17" s="1"/>
  <c r="M1136" i="17"/>
  <c r="N1136" i="17" s="1"/>
  <c r="K858" i="17"/>
  <c r="O858" i="17" s="1"/>
  <c r="P858" i="17" s="1"/>
  <c r="M858" i="17"/>
  <c r="N858" i="17" s="1"/>
  <c r="K1054" i="17"/>
  <c r="O1054" i="17" s="1"/>
  <c r="P1054" i="17" s="1"/>
  <c r="M1054" i="17"/>
  <c r="N1054" i="17" s="1"/>
  <c r="K1376" i="17"/>
  <c r="O1376" i="17" s="1"/>
  <c r="P1376" i="17" s="1"/>
  <c r="M1376" i="17"/>
  <c r="N1376" i="17" s="1"/>
  <c r="M2000" i="17"/>
  <c r="N2000" i="17" s="1"/>
  <c r="K268" i="17"/>
  <c r="O268" i="17" s="1"/>
  <c r="P268" i="17" s="1"/>
  <c r="M268" i="17"/>
  <c r="N268" i="17" s="1"/>
  <c r="M1998" i="17"/>
  <c r="N1998" i="17" s="1"/>
  <c r="K1638" i="17"/>
  <c r="O1638" i="17" s="1"/>
  <c r="P1638" i="17" s="1"/>
  <c r="M1638" i="17"/>
  <c r="N1638" i="17" s="1"/>
  <c r="K1137" i="17"/>
  <c r="O1137" i="17" s="1"/>
  <c r="P1137" i="17" s="1"/>
  <c r="M1137" i="17"/>
  <c r="N1137" i="17" s="1"/>
  <c r="K1457" i="17"/>
  <c r="O1457" i="17" s="1"/>
  <c r="P1457" i="17" s="1"/>
  <c r="M1457" i="17"/>
  <c r="N1457" i="17" s="1"/>
  <c r="K236" i="17"/>
  <c r="O236" i="17" s="1"/>
  <c r="P236" i="17" s="1"/>
  <c r="M236" i="17"/>
  <c r="N236" i="17" s="1"/>
  <c r="M1955" i="17"/>
  <c r="N1955" i="17" s="1"/>
  <c r="K1724" i="17"/>
  <c r="O1724" i="17" s="1"/>
  <c r="P1724" i="17" s="1"/>
  <c r="M1724" i="17"/>
  <c r="N1724" i="17" s="1"/>
  <c r="K467" i="17"/>
  <c r="O467" i="17" s="1"/>
  <c r="P467" i="17" s="1"/>
  <c r="K1133" i="17"/>
  <c r="M1133" i="17"/>
  <c r="N1133" i="17" s="1"/>
  <c r="K1512" i="17"/>
  <c r="O1512" i="17" s="1"/>
  <c r="P1512" i="17" s="1"/>
  <c r="M1512" i="17"/>
  <c r="N1512" i="17" s="1"/>
  <c r="K1312" i="17"/>
  <c r="O1312" i="17" s="1"/>
  <c r="P1312" i="17" s="1"/>
  <c r="M1312" i="17"/>
  <c r="N1312" i="17" s="1"/>
  <c r="K1786" i="17"/>
  <c r="O1786" i="17" s="1"/>
  <c r="P1786" i="17" s="1"/>
  <c r="M1786" i="17"/>
  <c r="N1786" i="17" s="1"/>
  <c r="K1779" i="17"/>
  <c r="O1779" i="17" s="1"/>
  <c r="P1779" i="17" s="1"/>
  <c r="M1779" i="17"/>
  <c r="N1779" i="17" s="1"/>
  <c r="K1081" i="17"/>
  <c r="O1081" i="17" s="1"/>
  <c r="P1081" i="17" s="1"/>
  <c r="M1081" i="17"/>
  <c r="N1081" i="17" s="1"/>
  <c r="K797" i="17"/>
  <c r="O797" i="17" s="1"/>
  <c r="P797" i="17" s="1"/>
  <c r="M797" i="17"/>
  <c r="N797" i="17" s="1"/>
  <c r="K1599" i="17"/>
  <c r="O1599" i="17" s="1"/>
  <c r="P1599" i="17" s="1"/>
  <c r="M1599" i="17"/>
  <c r="N1599" i="17" s="1"/>
  <c r="K1833" i="17"/>
  <c r="O1833" i="17" s="1"/>
  <c r="P1833" i="17" s="1"/>
  <c r="M1833" i="17"/>
  <c r="N1833" i="17" s="1"/>
  <c r="K1458" i="17"/>
  <c r="O1458" i="17" s="1"/>
  <c r="P1458" i="17" s="1"/>
  <c r="M1458" i="17"/>
  <c r="N1458" i="17" s="1"/>
  <c r="K736" i="17"/>
  <c r="O736" i="17" s="1"/>
  <c r="P736" i="17" s="1"/>
  <c r="M736" i="17"/>
  <c r="N736" i="17" s="1"/>
  <c r="K984" i="17"/>
  <c r="O984" i="17" s="1"/>
  <c r="P984" i="17" s="1"/>
  <c r="M984" i="17"/>
  <c r="N984" i="17" s="1"/>
  <c r="K1270" i="17"/>
  <c r="O1270" i="17" s="1"/>
  <c r="P1270" i="17" s="1"/>
  <c r="M1270" i="17"/>
  <c r="N1270" i="17" s="1"/>
  <c r="K1573" i="17"/>
  <c r="M1573" i="17"/>
  <c r="N1573" i="17" s="1"/>
  <c r="K1197" i="17"/>
  <c r="O1197" i="17" s="1"/>
  <c r="P1197" i="17" s="1"/>
  <c r="M1197" i="17"/>
  <c r="N1197" i="17" s="1"/>
  <c r="K617" i="17"/>
  <c r="O617" i="17" s="1"/>
  <c r="P617" i="17" s="1"/>
  <c r="M617" i="17"/>
  <c r="N617" i="17" s="1"/>
  <c r="M2002" i="17"/>
  <c r="N2002" i="17" s="1"/>
  <c r="O2001" i="17"/>
  <c r="P2001" i="17" s="1"/>
  <c r="M2001" i="17"/>
  <c r="N2001" i="17" s="1"/>
  <c r="K1045" i="17"/>
  <c r="O1045" i="17" s="1"/>
  <c r="P1045" i="17" s="1"/>
  <c r="M1045" i="17"/>
  <c r="N1045" i="17" s="1"/>
  <c r="K1451" i="17"/>
  <c r="O1451" i="17" s="1"/>
  <c r="P1451" i="17" s="1"/>
  <c r="M1451" i="17"/>
  <c r="N1451" i="17" s="1"/>
  <c r="K1585" i="17"/>
  <c r="O1585" i="17" s="1"/>
  <c r="P1585" i="17" s="1"/>
  <c r="M1585" i="17"/>
  <c r="N1585" i="17" s="1"/>
  <c r="K261" i="17"/>
  <c r="O261" i="17" s="1"/>
  <c r="P261" i="17" s="1"/>
  <c r="M261" i="17"/>
  <c r="N261" i="17" s="1"/>
  <c r="K1180" i="17"/>
  <c r="O1180" i="17" s="1"/>
  <c r="P1180" i="17" s="1"/>
  <c r="M1180" i="17"/>
  <c r="N1180" i="17" s="1"/>
  <c r="M2004" i="17"/>
  <c r="N2004" i="17" s="1"/>
  <c r="K683" i="17"/>
  <c r="O683" i="17" s="1"/>
  <c r="P683" i="17" s="1"/>
  <c r="K760" i="17"/>
  <c r="O760" i="17" s="1"/>
  <c r="P760" i="17" s="1"/>
  <c r="K78" i="17"/>
  <c r="F850" i="17"/>
  <c r="F831" i="17" s="1"/>
  <c r="K852" i="17"/>
  <c r="O852" i="17" s="1"/>
  <c r="P852" i="17" s="1"/>
  <c r="K191" i="17"/>
  <c r="O191" i="17" s="1"/>
  <c r="P191" i="17" s="1"/>
  <c r="K759" i="17"/>
  <c r="O759" i="17" s="1"/>
  <c r="P759" i="17" s="1"/>
  <c r="F1983" i="17"/>
  <c r="K1636" i="17"/>
  <c r="K682" i="17"/>
  <c r="O682" i="17" s="1"/>
  <c r="P682" i="17" s="1"/>
  <c r="K1518" i="17"/>
  <c r="O1518" i="17" s="1"/>
  <c r="P1518" i="17" s="1"/>
  <c r="F1974" i="17"/>
  <c r="K1042" i="17"/>
  <c r="K1718" i="17"/>
  <c r="O1718" i="17" s="1"/>
  <c r="P1718" i="17" s="1"/>
  <c r="K419" i="17"/>
  <c r="O419" i="17" s="1"/>
  <c r="P419" i="17" s="1"/>
  <c r="K667" i="17"/>
  <c r="O667" i="17" s="1"/>
  <c r="P667" i="17" s="1"/>
  <c r="K703" i="17"/>
  <c r="O703" i="17" s="1"/>
  <c r="P703" i="17" s="1"/>
  <c r="F389" i="17"/>
  <c r="F310" i="17" s="1"/>
  <c r="M310" i="17" s="1"/>
  <c r="N310" i="17" s="1"/>
  <c r="K412" i="17"/>
  <c r="O412" i="17" s="1"/>
  <c r="P412" i="17" s="1"/>
  <c r="F1943" i="17"/>
  <c r="M1943" i="17" s="1"/>
  <c r="N1943" i="17" s="1"/>
  <c r="K1252" i="17"/>
  <c r="K1382" i="17"/>
  <c r="O1382" i="17" s="1"/>
  <c r="P1382" i="17" s="1"/>
  <c r="F1631" i="17"/>
  <c r="M1631" i="17" s="1"/>
  <c r="N1631" i="17" s="1"/>
  <c r="K1651" i="17"/>
  <c r="O1651" i="17" s="1"/>
  <c r="P1651" i="17" s="1"/>
  <c r="F1980" i="17"/>
  <c r="K1449" i="17"/>
  <c r="K1506" i="17"/>
  <c r="O1506" i="17" s="1"/>
  <c r="P1506" i="17" s="1"/>
  <c r="K730" i="17"/>
  <c r="O730" i="17" s="1"/>
  <c r="P730" i="17" s="1"/>
  <c r="F1966" i="17"/>
  <c r="K12" i="17"/>
  <c r="F989" i="17"/>
  <c r="M989" i="17" s="1"/>
  <c r="N989" i="17" s="1"/>
  <c r="K1005" i="17"/>
  <c r="O1005" i="17" s="1"/>
  <c r="P1005" i="17" s="1"/>
  <c r="F1985" i="17"/>
  <c r="K1768" i="17"/>
  <c r="K315" i="17"/>
  <c r="O315" i="17" s="1"/>
  <c r="P315" i="17" s="1"/>
  <c r="F1146" i="17"/>
  <c r="K1147" i="17"/>
  <c r="O1147" i="17" s="1"/>
  <c r="P1147" i="17" s="1"/>
  <c r="K1645" i="17"/>
  <c r="O1645" i="17" s="1"/>
  <c r="P1645" i="17" s="1"/>
  <c r="K1653" i="17"/>
  <c r="O1653" i="17" s="1"/>
  <c r="P1653" i="17" s="1"/>
  <c r="G666" i="17"/>
  <c r="G656" i="17" s="1"/>
  <c r="G663" i="17" s="1"/>
  <c r="F1192" i="17"/>
  <c r="H9" i="17"/>
  <c r="F11" i="17"/>
  <c r="F1931" i="17" s="1"/>
  <c r="M1931" i="17" s="1"/>
  <c r="N1931" i="17" s="1"/>
  <c r="H1036" i="17"/>
  <c r="H1041" i="17" s="1"/>
  <c r="M7" i="17"/>
  <c r="N7" i="17" s="1"/>
  <c r="J656" i="17"/>
  <c r="K7" i="17"/>
  <c r="F267" i="17"/>
  <c r="F729" i="17"/>
  <c r="M729" i="17" s="1"/>
  <c r="N729" i="17" s="1"/>
  <c r="F31" i="17"/>
  <c r="M31" i="17" s="1"/>
  <c r="N31" i="17" s="1"/>
  <c r="H72" i="17"/>
  <c r="H77" i="17" s="1"/>
  <c r="F1568" i="17"/>
  <c r="M1568" i="17" s="1"/>
  <c r="N1568" i="17" s="1"/>
  <c r="I465" i="17"/>
  <c r="I1971" i="17" s="1"/>
  <c r="F2012" i="17"/>
  <c r="M2012" i="17" s="1"/>
  <c r="N2012" i="17" s="1"/>
  <c r="F1167" i="17"/>
  <c r="M1167" i="17" s="1"/>
  <c r="N1167" i="17" s="1"/>
  <c r="H1359" i="17"/>
  <c r="H1365" i="17" s="1"/>
  <c r="H1946" i="17" s="1"/>
  <c r="J1495" i="17"/>
  <c r="J1499" i="17" s="1"/>
  <c r="H319" i="17"/>
  <c r="H310" i="17" s="1"/>
  <c r="H316" i="17" s="1"/>
  <c r="F1359" i="17"/>
  <c r="M1359" i="17" s="1"/>
  <c r="N1359" i="17" s="1"/>
  <c r="H656" i="17"/>
  <c r="I321" i="17"/>
  <c r="K321" i="17" s="1"/>
  <c r="O321" i="17" s="1"/>
  <c r="P321" i="17" s="1"/>
  <c r="I664" i="17"/>
  <c r="I1972" i="17" s="1"/>
  <c r="I666" i="17"/>
  <c r="I656" i="17" s="1"/>
  <c r="H552" i="17"/>
  <c r="H459" i="17" s="1"/>
  <c r="H464" i="17" s="1"/>
  <c r="J459" i="17"/>
  <c r="J464" i="17" s="1"/>
  <c r="H29" i="17"/>
  <c r="J1128" i="17"/>
  <c r="H1497" i="17"/>
  <c r="H1707" i="17"/>
  <c r="H1711" i="17" s="1"/>
  <c r="F1044" i="17"/>
  <c r="I1126" i="17"/>
  <c r="I1132" i="17" s="1"/>
  <c r="F1444" i="17"/>
  <c r="M1444" i="17" s="1"/>
  <c r="N1444" i="17" s="1"/>
  <c r="G310" i="17"/>
  <c r="G316" i="17" s="1"/>
  <c r="I1303" i="17"/>
  <c r="J1303" i="17"/>
  <c r="G1128" i="17"/>
  <c r="F1062" i="17"/>
  <c r="I355" i="17"/>
  <c r="K355" i="17" s="1"/>
  <c r="O355" i="17" s="1"/>
  <c r="P355" i="17" s="1"/>
  <c r="F1249" i="17"/>
  <c r="I475" i="17"/>
  <c r="K475" i="17" s="1"/>
  <c r="O475" i="17" s="1"/>
  <c r="P475" i="17" s="1"/>
  <c r="G1633" i="17"/>
  <c r="G1497" i="17"/>
  <c r="J1709" i="17"/>
  <c r="F1301" i="17"/>
  <c r="F297" i="17"/>
  <c r="M297" i="17" s="1"/>
  <c r="N297" i="17" s="1"/>
  <c r="G459" i="17"/>
  <c r="G464" i="17" s="1"/>
  <c r="I1570" i="17"/>
  <c r="J1446" i="17"/>
  <c r="I1359" i="17"/>
  <c r="I1631" i="17"/>
  <c r="I333" i="17"/>
  <c r="K333" i="17" s="1"/>
  <c r="O333" i="17" s="1"/>
  <c r="P333" i="17" s="1"/>
  <c r="F228" i="17"/>
  <c r="F260" i="17"/>
  <c r="I520" i="17"/>
  <c r="K520" i="17" s="1"/>
  <c r="O520" i="17" s="1"/>
  <c r="P520" i="17" s="1"/>
  <c r="F552" i="17"/>
  <c r="F1970" i="17"/>
  <c r="M1970" i="17" s="1"/>
  <c r="N1970" i="17" s="1"/>
  <c r="F1971" i="17"/>
  <c r="M1971" i="17" s="1"/>
  <c r="N1971" i="17" s="1"/>
  <c r="F1967" i="17"/>
  <c r="I346" i="17"/>
  <c r="K346" i="17" s="1"/>
  <c r="O346" i="17" s="1"/>
  <c r="P346" i="17" s="1"/>
  <c r="I978" i="17"/>
  <c r="F664" i="17"/>
  <c r="F1968" i="17"/>
  <c r="M1968" i="17" s="1"/>
  <c r="N1968" i="17" s="1"/>
  <c r="H978" i="17"/>
  <c r="F1975" i="17"/>
  <c r="H1444" i="17"/>
  <c r="H1448" i="17" s="1"/>
  <c r="H1947" i="17" s="1"/>
  <c r="F1711" i="17"/>
  <c r="F1762" i="17"/>
  <c r="H1764" i="17"/>
  <c r="H1570" i="17"/>
  <c r="F1275" i="17"/>
  <c r="J1359" i="17"/>
  <c r="J1365" i="17" s="1"/>
  <c r="J1946" i="17" s="1"/>
  <c r="F1495" i="17"/>
  <c r="H1128" i="17"/>
  <c r="G1764" i="17"/>
  <c r="F1982" i="17"/>
  <c r="H1633" i="17"/>
  <c r="J1570" i="17"/>
  <c r="J1633" i="17"/>
  <c r="J1764" i="17"/>
  <c r="I1038" i="17"/>
  <c r="G1570" i="17"/>
  <c r="H1848" i="17" l="1"/>
  <c r="G461" i="17"/>
  <c r="G1936" i="17"/>
  <c r="O1449" i="17"/>
  <c r="P1449" i="17" s="1"/>
  <c r="K1980" i="17"/>
  <c r="O1712" i="17"/>
  <c r="P1712" i="17" s="1"/>
  <c r="K1984" i="17"/>
  <c r="O1984" i="17" s="1"/>
  <c r="P1984" i="17" s="1"/>
  <c r="G312" i="17"/>
  <c r="G1935" i="17"/>
  <c r="O1042" i="17"/>
  <c r="P1042" i="17" s="1"/>
  <c r="K1974" i="17"/>
  <c r="O1974" i="17" s="1"/>
  <c r="P1974" i="17" s="1"/>
  <c r="O1133" i="17"/>
  <c r="P1133" i="17" s="1"/>
  <c r="K1975" i="17"/>
  <c r="O1975" i="17" s="1"/>
  <c r="P1975" i="17" s="1"/>
  <c r="H461" i="17"/>
  <c r="H1936" i="17"/>
  <c r="O32" i="17"/>
  <c r="P32" i="17" s="1"/>
  <c r="K1967" i="17"/>
  <c r="O1967" i="17" s="1"/>
  <c r="P1967" i="17" s="1"/>
  <c r="O1573" i="17"/>
  <c r="P1573" i="17" s="1"/>
  <c r="K1982" i="17"/>
  <c r="O1982" i="17" s="1"/>
  <c r="P1982" i="17" s="1"/>
  <c r="O1990" i="17"/>
  <c r="P1990" i="17" s="1"/>
  <c r="H74" i="17"/>
  <c r="H1933" i="17"/>
  <c r="O78" i="17"/>
  <c r="P78" i="17" s="1"/>
  <c r="K1968" i="17"/>
  <c r="O1366" i="17"/>
  <c r="P1366" i="17" s="1"/>
  <c r="K1979" i="17"/>
  <c r="O1979" i="17" s="1"/>
  <c r="P1979" i="17" s="1"/>
  <c r="I1128" i="17"/>
  <c r="I1942" i="17"/>
  <c r="H312" i="17"/>
  <c r="H1935" i="17"/>
  <c r="O1768" i="17"/>
  <c r="P1768" i="17" s="1"/>
  <c r="K1985" i="17"/>
  <c r="O1985" i="17" s="1"/>
  <c r="P1985" i="17" s="1"/>
  <c r="G658" i="17"/>
  <c r="G1938" i="17"/>
  <c r="H1709" i="17"/>
  <c r="H1951" i="17"/>
  <c r="J1497" i="17"/>
  <c r="J1948" i="17"/>
  <c r="O1252" i="17"/>
  <c r="P1252" i="17" s="1"/>
  <c r="K1943" i="17"/>
  <c r="O1636" i="17"/>
  <c r="P1636" i="17" s="1"/>
  <c r="K1983" i="17"/>
  <c r="G1848" i="17"/>
  <c r="H1038" i="17"/>
  <c r="H1941" i="17"/>
  <c r="O12" i="17"/>
  <c r="P12" i="17" s="1"/>
  <c r="K1966" i="17"/>
  <c r="O1966" i="17" s="1"/>
  <c r="P1966" i="17" s="1"/>
  <c r="J461" i="17"/>
  <c r="J1936" i="17"/>
  <c r="J1953" i="17" s="1"/>
  <c r="J1962" i="17" s="1"/>
  <c r="F9" i="17"/>
  <c r="F1635" i="17"/>
  <c r="M1635" i="17" s="1"/>
  <c r="N1635" i="17" s="1"/>
  <c r="K1301" i="17"/>
  <c r="O1301" i="17" s="1"/>
  <c r="P1301" i="17" s="1"/>
  <c r="M1301" i="17"/>
  <c r="N1301" i="17" s="1"/>
  <c r="O1980" i="17"/>
  <c r="P1980" i="17" s="1"/>
  <c r="M1980" i="17"/>
  <c r="N1980" i="17" s="1"/>
  <c r="K1146" i="17"/>
  <c r="O1146" i="17" s="1"/>
  <c r="P1146" i="17" s="1"/>
  <c r="M1146" i="17"/>
  <c r="N1146" i="17" s="1"/>
  <c r="M1974" i="17"/>
  <c r="N1974" i="17" s="1"/>
  <c r="K831" i="17"/>
  <c r="O831" i="17" s="1"/>
  <c r="P831" i="17" s="1"/>
  <c r="M831" i="17"/>
  <c r="N831" i="17" s="1"/>
  <c r="K228" i="17"/>
  <c r="O228" i="17" s="1"/>
  <c r="P228" i="17" s="1"/>
  <c r="M228" i="17"/>
  <c r="N228" i="17" s="1"/>
  <c r="K11" i="17"/>
  <c r="M11" i="17"/>
  <c r="N11" i="17" s="1"/>
  <c r="M1985" i="17"/>
  <c r="N1985" i="17" s="1"/>
  <c r="O1983" i="17"/>
  <c r="P1983" i="17" s="1"/>
  <c r="M1983" i="17"/>
  <c r="N1983" i="17" s="1"/>
  <c r="K1762" i="17"/>
  <c r="O1762" i="17" s="1"/>
  <c r="P1762" i="17" s="1"/>
  <c r="M1762" i="17"/>
  <c r="N1762" i="17" s="1"/>
  <c r="K1711" i="17"/>
  <c r="M1711" i="17"/>
  <c r="N1711" i="17" s="1"/>
  <c r="M1967" i="17"/>
  <c r="N1967" i="17" s="1"/>
  <c r="K1192" i="17"/>
  <c r="O1192" i="17" s="1"/>
  <c r="P1192" i="17" s="1"/>
  <c r="M1192" i="17"/>
  <c r="N1192" i="17" s="1"/>
  <c r="K389" i="17"/>
  <c r="O389" i="17" s="1"/>
  <c r="P389" i="17" s="1"/>
  <c r="M389" i="17"/>
  <c r="N389" i="17" s="1"/>
  <c r="K1249" i="17"/>
  <c r="O1249" i="17" s="1"/>
  <c r="P1249" i="17" s="1"/>
  <c r="M1249" i="17"/>
  <c r="N1249" i="17" s="1"/>
  <c r="K1044" i="17"/>
  <c r="O1044" i="17" s="1"/>
  <c r="P1044" i="17" s="1"/>
  <c r="M1044" i="17"/>
  <c r="N1044" i="17" s="1"/>
  <c r="M1966" i="17"/>
  <c r="N1966" i="17" s="1"/>
  <c r="K260" i="17"/>
  <c r="O260" i="17" s="1"/>
  <c r="P260" i="17" s="1"/>
  <c r="M260" i="17"/>
  <c r="N260" i="17" s="1"/>
  <c r="M1982" i="17"/>
  <c r="N1982" i="17" s="1"/>
  <c r="K1495" i="17"/>
  <c r="O1495" i="17" s="1"/>
  <c r="P1495" i="17" s="1"/>
  <c r="M1495" i="17"/>
  <c r="N1495" i="17" s="1"/>
  <c r="M1975" i="17"/>
  <c r="N1975" i="17" s="1"/>
  <c r="O1943" i="17"/>
  <c r="P1943" i="17" s="1"/>
  <c r="K850" i="17"/>
  <c r="O850" i="17" s="1"/>
  <c r="P850" i="17" s="1"/>
  <c r="M850" i="17"/>
  <c r="N850" i="17" s="1"/>
  <c r="K664" i="17"/>
  <c r="M664" i="17"/>
  <c r="N664" i="17" s="1"/>
  <c r="K552" i="17"/>
  <c r="O552" i="17" s="1"/>
  <c r="P552" i="17" s="1"/>
  <c r="M552" i="17"/>
  <c r="N552" i="17" s="1"/>
  <c r="K1062" i="17"/>
  <c r="O1062" i="17" s="1"/>
  <c r="P1062" i="17" s="1"/>
  <c r="M1062" i="17"/>
  <c r="N1062" i="17" s="1"/>
  <c r="K1275" i="17"/>
  <c r="M1275" i="17"/>
  <c r="N1275" i="17" s="1"/>
  <c r="K267" i="17"/>
  <c r="O267" i="17" s="1"/>
  <c r="P267" i="17" s="1"/>
  <c r="M267" i="17"/>
  <c r="N267" i="17" s="1"/>
  <c r="F29" i="17"/>
  <c r="K31" i="17"/>
  <c r="K465" i="17"/>
  <c r="F1365" i="17"/>
  <c r="M1365" i="17" s="1"/>
  <c r="N1365" i="17" s="1"/>
  <c r="K1359" i="17"/>
  <c r="O1359" i="17" s="1"/>
  <c r="P1359" i="17" s="1"/>
  <c r="F666" i="17"/>
  <c r="K729" i="17"/>
  <c r="O729" i="17" s="1"/>
  <c r="P729" i="17" s="1"/>
  <c r="F1934" i="17"/>
  <c r="M1934" i="17" s="1"/>
  <c r="N1934" i="17" s="1"/>
  <c r="F316" i="17"/>
  <c r="M316" i="17" s="1"/>
  <c r="N316" i="17" s="1"/>
  <c r="K1707" i="17"/>
  <c r="O1707" i="17" s="1"/>
  <c r="P1707" i="17" s="1"/>
  <c r="F1126" i="17"/>
  <c r="F1132" i="17" s="1"/>
  <c r="K1167" i="17"/>
  <c r="O1167" i="17" s="1"/>
  <c r="P1167" i="17" s="1"/>
  <c r="K1631" i="17"/>
  <c r="O1631" i="17" s="1"/>
  <c r="P1631" i="17" s="1"/>
  <c r="F1448" i="17"/>
  <c r="M1448" i="17" s="1"/>
  <c r="N1448" i="17" s="1"/>
  <c r="K1444" i="17"/>
  <c r="O1444" i="17" s="1"/>
  <c r="P1444" i="17" s="1"/>
  <c r="F1572" i="17"/>
  <c r="F1949" i="17" s="1"/>
  <c r="K1568" i="17"/>
  <c r="O1568" i="17" s="1"/>
  <c r="P1568" i="17" s="1"/>
  <c r="F976" i="17"/>
  <c r="M976" i="17" s="1"/>
  <c r="N976" i="17" s="1"/>
  <c r="K989" i="17"/>
  <c r="O989" i="17" s="1"/>
  <c r="P989" i="17" s="1"/>
  <c r="J663" i="17"/>
  <c r="J1938" i="17" s="1"/>
  <c r="H663" i="17"/>
  <c r="H1938" i="17" s="1"/>
  <c r="O7" i="17"/>
  <c r="P7" i="17" s="1"/>
  <c r="H1361" i="17"/>
  <c r="F1036" i="17"/>
  <c r="I459" i="17"/>
  <c r="F1305" i="17"/>
  <c r="F294" i="17"/>
  <c r="M294" i="17" s="1"/>
  <c r="N294" i="17" s="1"/>
  <c r="I319" i="17"/>
  <c r="K319" i="17" s="1"/>
  <c r="O319" i="17" s="1"/>
  <c r="P319" i="17" s="1"/>
  <c r="I334" i="17"/>
  <c r="K334" i="17" s="1"/>
  <c r="O334" i="17" s="1"/>
  <c r="P334" i="17" s="1"/>
  <c r="F459" i="17"/>
  <c r="M459" i="17" s="1"/>
  <c r="N459" i="17" s="1"/>
  <c r="F72" i="17"/>
  <c r="F829" i="17"/>
  <c r="F1951" i="17"/>
  <c r="M1951" i="17" s="1"/>
  <c r="N1951" i="17" s="1"/>
  <c r="F1709" i="17"/>
  <c r="F1972" i="17"/>
  <c r="F1944" i="17"/>
  <c r="F1272" i="17"/>
  <c r="F1767" i="17"/>
  <c r="M1767" i="17" s="1"/>
  <c r="N1767" i="17" s="1"/>
  <c r="O1968" i="17"/>
  <c r="P1968" i="17" s="1"/>
  <c r="F1932" i="17"/>
  <c r="F1950" i="17"/>
  <c r="M1950" i="17" s="1"/>
  <c r="N1950" i="17" s="1"/>
  <c r="F1633" i="17"/>
  <c r="M1633" i="17" s="1"/>
  <c r="N1633" i="17" s="1"/>
  <c r="H1446" i="17"/>
  <c r="F1499" i="17"/>
  <c r="M1499" i="17" s="1"/>
  <c r="N1499" i="17" s="1"/>
  <c r="J1361" i="17"/>
  <c r="F93" i="7"/>
  <c r="F92" i="7"/>
  <c r="F90" i="7"/>
  <c r="F89" i="7"/>
  <c r="F88" i="7"/>
  <c r="F87" i="7"/>
  <c r="F85" i="7"/>
  <c r="F82" i="7"/>
  <c r="F81" i="7"/>
  <c r="F80" i="7"/>
  <c r="F79" i="7"/>
  <c r="F76" i="7"/>
  <c r="F75" i="7"/>
  <c r="F73" i="7"/>
  <c r="F72" i="7"/>
  <c r="F71" i="7"/>
  <c r="F70" i="7"/>
  <c r="F69" i="7"/>
  <c r="F66" i="7"/>
  <c r="F65" i="7"/>
  <c r="F64" i="7"/>
  <c r="F61" i="7"/>
  <c r="F60" i="7"/>
  <c r="F58" i="7"/>
  <c r="F57" i="7"/>
  <c r="F55" i="7"/>
  <c r="F54" i="7"/>
  <c r="F53" i="7"/>
  <c r="F51" i="7"/>
  <c r="F49" i="7"/>
  <c r="F47" i="7"/>
  <c r="F45" i="7"/>
  <c r="F44" i="7"/>
  <c r="F41" i="7"/>
  <c r="F40" i="7"/>
  <c r="F39" i="7"/>
  <c r="F38" i="7"/>
  <c r="F36" i="7"/>
  <c r="F34" i="7"/>
  <c r="F33" i="7"/>
  <c r="F31" i="7"/>
  <c r="F28" i="7"/>
  <c r="F27" i="7"/>
  <c r="F26" i="7"/>
  <c r="F25" i="7"/>
  <c r="F24" i="7"/>
  <c r="F22" i="7"/>
  <c r="F21" i="7"/>
  <c r="F19" i="7"/>
  <c r="F16" i="7"/>
  <c r="F15" i="7"/>
  <c r="F12" i="7"/>
  <c r="F11" i="7"/>
  <c r="F9" i="7"/>
  <c r="M7" i="36"/>
  <c r="M11" i="36"/>
  <c r="M16" i="36"/>
  <c r="M18" i="36"/>
  <c r="M24" i="36"/>
  <c r="M28" i="36"/>
  <c r="M32" i="36"/>
  <c r="M38" i="36"/>
  <c r="M42" i="36"/>
  <c r="M44" i="36"/>
  <c r="M46" i="36"/>
  <c r="M52" i="36"/>
  <c r="F1446" i="17" l="1"/>
  <c r="M1446" i="17" s="1"/>
  <c r="N1446" i="17" s="1"/>
  <c r="G1953" i="17"/>
  <c r="G1962" i="17" s="1"/>
  <c r="O31" i="17"/>
  <c r="P31" i="17" s="1"/>
  <c r="K1932" i="17"/>
  <c r="O1932" i="17" s="1"/>
  <c r="P1932" i="17" s="1"/>
  <c r="O1711" i="17"/>
  <c r="P1711" i="17" s="1"/>
  <c r="K1951" i="17"/>
  <c r="M9" i="17"/>
  <c r="N9" i="17" s="1"/>
  <c r="K9" i="17"/>
  <c r="O11" i="17"/>
  <c r="P11" i="17" s="1"/>
  <c r="K1931" i="17"/>
  <c r="O1931" i="17" s="1"/>
  <c r="P1931" i="17" s="1"/>
  <c r="F1570" i="17"/>
  <c r="K1570" i="17" s="1"/>
  <c r="O1570" i="17" s="1"/>
  <c r="P1570" i="17" s="1"/>
  <c r="F1361" i="17"/>
  <c r="M1361" i="17" s="1"/>
  <c r="N1361" i="17" s="1"/>
  <c r="F1946" i="17"/>
  <c r="M1946" i="17" s="1"/>
  <c r="N1946" i="17" s="1"/>
  <c r="O1275" i="17"/>
  <c r="P1275" i="17" s="1"/>
  <c r="K1944" i="17"/>
  <c r="O1944" i="17" s="1"/>
  <c r="P1944" i="17" s="1"/>
  <c r="F1947" i="17"/>
  <c r="M1947" i="17" s="1"/>
  <c r="N1947" i="17" s="1"/>
  <c r="O465" i="17"/>
  <c r="P465" i="17" s="1"/>
  <c r="K1971" i="17"/>
  <c r="O1971" i="17" s="1"/>
  <c r="P1971" i="17" s="1"/>
  <c r="O664" i="17"/>
  <c r="P664" i="17" s="1"/>
  <c r="K1972" i="17"/>
  <c r="O1972" i="17" s="1"/>
  <c r="P1972" i="17" s="1"/>
  <c r="H1953" i="17"/>
  <c r="H1962" i="17" s="1"/>
  <c r="F1935" i="17"/>
  <c r="M1935" i="17" s="1"/>
  <c r="N1935" i="17" s="1"/>
  <c r="F312" i="17"/>
  <c r="M312" i="17" s="1"/>
  <c r="N312" i="17" s="1"/>
  <c r="K29" i="17"/>
  <c r="O29" i="17" s="1"/>
  <c r="P29" i="17" s="1"/>
  <c r="M29" i="17"/>
  <c r="N29" i="17" s="1"/>
  <c r="K1132" i="17"/>
  <c r="M1132" i="17"/>
  <c r="N1132" i="17" s="1"/>
  <c r="K1036" i="17"/>
  <c r="O1036" i="17" s="1"/>
  <c r="P1036" i="17" s="1"/>
  <c r="M1036" i="17"/>
  <c r="N1036" i="17" s="1"/>
  <c r="K1126" i="17"/>
  <c r="O1126" i="17" s="1"/>
  <c r="P1126" i="17" s="1"/>
  <c r="M1126" i="17"/>
  <c r="N1126" i="17" s="1"/>
  <c r="K1272" i="17"/>
  <c r="O1272" i="17" s="1"/>
  <c r="P1272" i="17" s="1"/>
  <c r="M1272" i="17"/>
  <c r="N1272" i="17" s="1"/>
  <c r="K72" i="17"/>
  <c r="M72" i="17"/>
  <c r="N72" i="17" s="1"/>
  <c r="M1944" i="17"/>
  <c r="N1944" i="17" s="1"/>
  <c r="M1932" i="17"/>
  <c r="N1932" i="17" s="1"/>
  <c r="M1972" i="17"/>
  <c r="N1972" i="17" s="1"/>
  <c r="M1949" i="17"/>
  <c r="N1949" i="17" s="1"/>
  <c r="K1709" i="17"/>
  <c r="O1709" i="17" s="1"/>
  <c r="P1709" i="17" s="1"/>
  <c r="M1709" i="17"/>
  <c r="N1709" i="17" s="1"/>
  <c r="H658" i="17"/>
  <c r="K666" i="17"/>
  <c r="O666" i="17" s="1"/>
  <c r="P666" i="17" s="1"/>
  <c r="M666" i="17"/>
  <c r="N666" i="17" s="1"/>
  <c r="K829" i="17"/>
  <c r="O829" i="17" s="1"/>
  <c r="P829" i="17" s="1"/>
  <c r="M829" i="17"/>
  <c r="N829" i="17" s="1"/>
  <c r="K1305" i="17"/>
  <c r="M1305" i="17"/>
  <c r="N1305" i="17" s="1"/>
  <c r="K1572" i="17"/>
  <c r="M1572" i="17"/>
  <c r="N1572" i="17" s="1"/>
  <c r="K976" i="17"/>
  <c r="O976" i="17" s="1"/>
  <c r="P976" i="17" s="1"/>
  <c r="F981" i="17"/>
  <c r="M981" i="17" s="1"/>
  <c r="N981" i="17" s="1"/>
  <c r="K459" i="17"/>
  <c r="O459" i="17" s="1"/>
  <c r="P459" i="17" s="1"/>
  <c r="J658" i="17"/>
  <c r="F1041" i="17"/>
  <c r="O1951" i="17"/>
  <c r="P1951" i="17" s="1"/>
  <c r="F1303" i="17"/>
  <c r="F1945" i="17"/>
  <c r="F1986" i="17"/>
  <c r="M1986" i="17" s="1"/>
  <c r="N1986" i="17" s="1"/>
  <c r="F77" i="17"/>
  <c r="M77" i="17" s="1"/>
  <c r="N77" i="17" s="1"/>
  <c r="I317" i="17"/>
  <c r="F464" i="17"/>
  <c r="M464" i="17" s="1"/>
  <c r="N464" i="17" s="1"/>
  <c r="I310" i="17"/>
  <c r="I1848" i="17" s="1"/>
  <c r="F656" i="17"/>
  <c r="F1497" i="17"/>
  <c r="M1497" i="17" s="1"/>
  <c r="N1497" i="17" s="1"/>
  <c r="F1948" i="17"/>
  <c r="M1948" i="17" s="1"/>
  <c r="N1948" i="17" s="1"/>
  <c r="F1128" i="17"/>
  <c r="F1942" i="17"/>
  <c r="F1952" i="17"/>
  <c r="M1952" i="17" s="1"/>
  <c r="N1952" i="17" s="1"/>
  <c r="F1764" i="17"/>
  <c r="M1764" i="17" s="1"/>
  <c r="N1764" i="17" s="1"/>
  <c r="P51" i="36"/>
  <c r="L49" i="36"/>
  <c r="L51" i="36"/>
  <c r="K10" i="36"/>
  <c r="M10" i="36" s="1"/>
  <c r="K22" i="36"/>
  <c r="K19" i="36" s="1"/>
  <c r="K30" i="36"/>
  <c r="M30" i="36" s="1"/>
  <c r="K31" i="36"/>
  <c r="M31" i="36" s="1"/>
  <c r="K36" i="36"/>
  <c r="M36" i="36" s="1"/>
  <c r="K37" i="36"/>
  <c r="M37" i="36" s="1"/>
  <c r="K40" i="36"/>
  <c r="M40" i="36" s="1"/>
  <c r="K43" i="36"/>
  <c r="M43" i="36" s="1"/>
  <c r="O9" i="17" l="1"/>
  <c r="P9" i="17" s="1"/>
  <c r="K317" i="17"/>
  <c r="I1970" i="17"/>
  <c r="I1986" i="17" s="1"/>
  <c r="O1572" i="17"/>
  <c r="P1572" i="17" s="1"/>
  <c r="K1949" i="17"/>
  <c r="O1949" i="17" s="1"/>
  <c r="P1949" i="17" s="1"/>
  <c r="O1305" i="17"/>
  <c r="P1305" i="17" s="1"/>
  <c r="K1945" i="17"/>
  <c r="O1945" i="17" s="1"/>
  <c r="P1945" i="17" s="1"/>
  <c r="M1570" i="17"/>
  <c r="N1570" i="17" s="1"/>
  <c r="O72" i="17"/>
  <c r="P72" i="17" s="1"/>
  <c r="K1848" i="17"/>
  <c r="O1132" i="17"/>
  <c r="P1132" i="17" s="1"/>
  <c r="K1942" i="17"/>
  <c r="O1942" i="17" s="1"/>
  <c r="P1942" i="17" s="1"/>
  <c r="K1303" i="17"/>
  <c r="O1303" i="17" s="1"/>
  <c r="P1303" i="17" s="1"/>
  <c r="M1303" i="17"/>
  <c r="N1303" i="17" s="1"/>
  <c r="M1945" i="17"/>
  <c r="N1945" i="17" s="1"/>
  <c r="M1942" i="17"/>
  <c r="N1942" i="17" s="1"/>
  <c r="K1128" i="17"/>
  <c r="O1128" i="17" s="1"/>
  <c r="P1128" i="17" s="1"/>
  <c r="M1128" i="17"/>
  <c r="N1128" i="17" s="1"/>
  <c r="K1041" i="17"/>
  <c r="M1041" i="17"/>
  <c r="N1041" i="17" s="1"/>
  <c r="K656" i="17"/>
  <c r="O656" i="17" s="1"/>
  <c r="P656" i="17" s="1"/>
  <c r="M656" i="17"/>
  <c r="N656" i="17" s="1"/>
  <c r="F1933" i="17"/>
  <c r="M1933" i="17" s="1"/>
  <c r="N1933" i="17" s="1"/>
  <c r="K981" i="17"/>
  <c r="F978" i="17"/>
  <c r="F1939" i="17"/>
  <c r="K310" i="17"/>
  <c r="O310" i="17" s="1"/>
  <c r="P310" i="17" s="1"/>
  <c r="F1848" i="17"/>
  <c r="M51" i="36"/>
  <c r="M49" i="36"/>
  <c r="F1038" i="17"/>
  <c r="F1941" i="17"/>
  <c r="F74" i="17"/>
  <c r="F461" i="17"/>
  <c r="M461" i="17" s="1"/>
  <c r="N461" i="17" s="1"/>
  <c r="F663" i="17"/>
  <c r="M663" i="17" s="1"/>
  <c r="N663" i="17" s="1"/>
  <c r="F1936" i="17"/>
  <c r="M1936" i="17" s="1"/>
  <c r="N1936" i="17" s="1"/>
  <c r="K29" i="36"/>
  <c r="M29" i="36" s="1"/>
  <c r="G1852" i="17" l="1"/>
  <c r="G1860" i="17" s="1"/>
  <c r="G1850" i="17"/>
  <c r="H1856" i="17"/>
  <c r="H1850" i="17"/>
  <c r="H1849" i="17"/>
  <c r="H1987" i="17" s="1"/>
  <c r="H1858" i="17"/>
  <c r="G1856" i="17"/>
  <c r="O1041" i="17"/>
  <c r="P1041" i="17" s="1"/>
  <c r="K1941" i="17"/>
  <c r="O981" i="17"/>
  <c r="P981" i="17" s="1"/>
  <c r="K1939" i="17"/>
  <c r="O1848" i="17"/>
  <c r="P1848" i="17" s="1"/>
  <c r="O317" i="17"/>
  <c r="P317" i="17" s="1"/>
  <c r="K1970" i="17"/>
  <c r="K1986" i="17" s="1"/>
  <c r="O1986" i="17" s="1"/>
  <c r="P1986" i="17" s="1"/>
  <c r="M1848" i="17"/>
  <c r="N1848" i="17" s="1"/>
  <c r="M74" i="17"/>
  <c r="N74" i="17" s="1"/>
  <c r="F1849" i="17"/>
  <c r="O1941" i="17"/>
  <c r="P1941" i="17" s="1"/>
  <c r="M1941" i="17"/>
  <c r="N1941" i="17" s="1"/>
  <c r="K978" i="17"/>
  <c r="O978" i="17" s="1"/>
  <c r="P978" i="17" s="1"/>
  <c r="M978" i="17"/>
  <c r="N978" i="17" s="1"/>
  <c r="K1038" i="17"/>
  <c r="O1038" i="17" s="1"/>
  <c r="P1038" i="17" s="1"/>
  <c r="M1038" i="17"/>
  <c r="N1038" i="17" s="1"/>
  <c r="O1939" i="17"/>
  <c r="P1939" i="17" s="1"/>
  <c r="M1939" i="17"/>
  <c r="N1939" i="17" s="1"/>
  <c r="O1970" i="17"/>
  <c r="P1970" i="17" s="1"/>
  <c r="F658" i="17"/>
  <c r="M658" i="17" s="1"/>
  <c r="N658" i="17" s="1"/>
  <c r="F1938" i="17"/>
  <c r="M1938" i="17" s="1"/>
  <c r="N1938" i="17" s="1"/>
  <c r="E37" i="12"/>
  <c r="E804" i="4"/>
  <c r="E803" i="4"/>
  <c r="E794" i="4"/>
  <c r="E793" i="4"/>
  <c r="E23" i="7"/>
  <c r="E20" i="7"/>
  <c r="E7" i="7"/>
  <c r="G1853" i="17" l="1"/>
  <c r="G1858" i="17"/>
  <c r="G1963" i="17" s="1"/>
  <c r="G1857" i="17"/>
  <c r="H1853" i="17"/>
  <c r="H2013" i="17" s="1"/>
  <c r="G1849" i="17"/>
  <c r="G1987" i="17" s="1"/>
  <c r="G1855" i="17"/>
  <c r="G1854" i="17"/>
  <c r="H1855" i="17"/>
  <c r="H1854" i="17"/>
  <c r="H1963" i="17"/>
  <c r="H1857" i="17"/>
  <c r="H1852" i="17"/>
  <c r="H1860" i="17" s="1"/>
  <c r="F1852" i="17"/>
  <c r="F1858" i="17"/>
  <c r="K17" i="36"/>
  <c r="M17" i="36" s="1"/>
  <c r="K15" i="36"/>
  <c r="M15" i="36" s="1"/>
  <c r="K9" i="36"/>
  <c r="M9" i="36" s="1"/>
  <c r="F1850" i="17"/>
  <c r="F1857" i="17"/>
  <c r="F1854" i="17"/>
  <c r="F1853" i="17"/>
  <c r="F1855" i="17"/>
  <c r="F1856" i="17"/>
  <c r="F1953" i="17"/>
  <c r="E6" i="7"/>
  <c r="H1859" i="17" l="1"/>
  <c r="G2013" i="17"/>
  <c r="G1859" i="17"/>
  <c r="G1862" i="17"/>
  <c r="H1906" i="17"/>
  <c r="H1911" i="17"/>
  <c r="H1900" i="17"/>
  <c r="G1908" i="17"/>
  <c r="G1869" i="17"/>
  <c r="H1899" i="17"/>
  <c r="G1907" i="17"/>
  <c r="G1913" i="17"/>
  <c r="H1898" i="17"/>
  <c r="G1906" i="17"/>
  <c r="G1867" i="17"/>
  <c r="H1884" i="17"/>
  <c r="G1884" i="17"/>
  <c r="H1917" i="17"/>
  <c r="G1903" i="17"/>
  <c r="H1881" i="17"/>
  <c r="G1904" i="17"/>
  <c r="G1865" i="17"/>
  <c r="H1909" i="17"/>
  <c r="H1880" i="17"/>
  <c r="G1880" i="17"/>
  <c r="G1915" i="17"/>
  <c r="H1879" i="17"/>
  <c r="G1902" i="17"/>
  <c r="G1863" i="17"/>
  <c r="H1878" i="17"/>
  <c r="G1878" i="17"/>
  <c r="H1877" i="17"/>
  <c r="G1900" i="17"/>
  <c r="H1913" i="17"/>
  <c r="H1876" i="17"/>
  <c r="G1876" i="17"/>
  <c r="H1875" i="17"/>
  <c r="H1916" i="17"/>
  <c r="G1898" i="17"/>
  <c r="G1911" i="17"/>
  <c r="H1874" i="17"/>
  <c r="G1874" i="17"/>
  <c r="H1915" i="17"/>
  <c r="H1873" i="17"/>
  <c r="H1914" i="17"/>
  <c r="G1881" i="17"/>
  <c r="G1899" i="17"/>
  <c r="H1872" i="17"/>
  <c r="G1872" i="17"/>
  <c r="G1909" i="17"/>
  <c r="G1917" i="17"/>
  <c r="H1910" i="17"/>
  <c r="H1871" i="17"/>
  <c r="H1912" i="17"/>
  <c r="G1879" i="17"/>
  <c r="H1870" i="17"/>
  <c r="G1870" i="17"/>
  <c r="G1901" i="17"/>
  <c r="G1905" i="17"/>
  <c r="H1908" i="17"/>
  <c r="H1869" i="17"/>
  <c r="G1916" i="17"/>
  <c r="G1877" i="17"/>
  <c r="H1907" i="17"/>
  <c r="H1868" i="17"/>
  <c r="G1868" i="17"/>
  <c r="H1867" i="17"/>
  <c r="G1914" i="17"/>
  <c r="G1875" i="17"/>
  <c r="H1905" i="17"/>
  <c r="H1866" i="17"/>
  <c r="G1866" i="17"/>
  <c r="H1904" i="17"/>
  <c r="H1865" i="17"/>
  <c r="G1912" i="17"/>
  <c r="G1873" i="17"/>
  <c r="H1903" i="17"/>
  <c r="H1864" i="17"/>
  <c r="G1864" i="17"/>
  <c r="H1902" i="17"/>
  <c r="H1863" i="17"/>
  <c r="G1910" i="17"/>
  <c r="G1871" i="17"/>
  <c r="H1901" i="17"/>
  <c r="H1862" i="17"/>
  <c r="F1962" i="17"/>
  <c r="M1962" i="17" s="1"/>
  <c r="N1962" i="17" s="1"/>
  <c r="M1953" i="17"/>
  <c r="N1953" i="17" s="1"/>
  <c r="K8" i="36"/>
  <c r="F1910" i="17"/>
  <c r="F1905" i="17"/>
  <c r="F1877" i="17"/>
  <c r="F1878" i="17"/>
  <c r="F1876" i="17"/>
  <c r="F1904" i="17"/>
  <c r="F1907" i="17"/>
  <c r="F1900" i="17"/>
  <c r="F1866" i="17"/>
  <c r="F1909" i="17"/>
  <c r="F1914" i="17"/>
  <c r="F1898" i="17"/>
  <c r="F1915" i="17"/>
  <c r="F1870" i="17"/>
  <c r="F1908" i="17"/>
  <c r="F1864" i="17"/>
  <c r="F1917" i="17"/>
  <c r="F1902" i="17"/>
  <c r="F1860" i="17"/>
  <c r="F1873" i="17"/>
  <c r="F1913" i="17"/>
  <c r="F1884" i="17"/>
  <c r="F1987" i="17"/>
  <c r="F1875" i="17"/>
  <c r="F1867" i="17"/>
  <c r="F1903" i="17"/>
  <c r="F1871" i="17"/>
  <c r="F1912" i="17"/>
  <c r="F1863" i="17"/>
  <c r="F1881" i="17"/>
  <c r="F1906" i="17"/>
  <c r="F1865" i="17"/>
  <c r="F1868" i="17"/>
  <c r="F1880" i="17"/>
  <c r="F1869" i="17"/>
  <c r="F1874" i="17"/>
  <c r="F1859" i="17"/>
  <c r="F2013" i="17"/>
  <c r="F1901" i="17"/>
  <c r="F1879" i="17"/>
  <c r="F1862" i="17"/>
  <c r="F1872" i="17"/>
  <c r="F1916" i="17"/>
  <c r="F1899" i="17"/>
  <c r="F1911" i="17"/>
  <c r="M8" i="36"/>
  <c r="G1882" i="17" l="1"/>
  <c r="G1891" i="17" s="1"/>
  <c r="G1893" i="17" s="1"/>
  <c r="G1894" i="17" s="1"/>
  <c r="H1882" i="17"/>
  <c r="H1891" i="17" s="1"/>
  <c r="H1893" i="17" s="1"/>
  <c r="H1894" i="17" s="1"/>
  <c r="H1918" i="17"/>
  <c r="H1928" i="17" s="1"/>
  <c r="H1929" i="17" s="1"/>
  <c r="G1918" i="17"/>
  <c r="G1928" i="17" s="1"/>
  <c r="G1929" i="17" s="1"/>
  <c r="F1882" i="17"/>
  <c r="F1918" i="17"/>
  <c r="F1963" i="17"/>
  <c r="F1891" i="17" l="1"/>
  <c r="F1928" i="17"/>
  <c r="F1929" i="17" l="1"/>
  <c r="F1893" i="17"/>
  <c r="F1894" i="17" l="1"/>
  <c r="K115" i="12"/>
  <c r="K116" i="12"/>
  <c r="B75" i="12" l="1"/>
  <c r="G75" i="12"/>
  <c r="G80" i="12"/>
  <c r="C80" i="12"/>
  <c r="D80" i="12"/>
  <c r="E80" i="12"/>
  <c r="B80" i="12"/>
  <c r="F81" i="12"/>
  <c r="J81" i="12" s="1"/>
  <c r="E120" i="12"/>
  <c r="F117" i="12"/>
  <c r="J117" i="12" s="1"/>
  <c r="K117" i="12" s="1"/>
  <c r="F118" i="12"/>
  <c r="J118" i="12" s="1"/>
  <c r="K118" i="12" s="1"/>
  <c r="E108" i="12"/>
  <c r="F119" i="12"/>
  <c r="J119" i="12" s="1"/>
  <c r="K119" i="12"/>
  <c r="B120" i="12"/>
  <c r="H120" i="12" s="1"/>
  <c r="I120" i="12" s="1"/>
  <c r="C120" i="12"/>
  <c r="D120" i="12"/>
  <c r="K120" i="12"/>
  <c r="E726" i="4"/>
  <c r="E724" i="4"/>
  <c r="E719" i="4"/>
  <c r="E656" i="4"/>
  <c r="E655" i="4" s="1"/>
  <c r="E649" i="4"/>
  <c r="E646" i="4"/>
  <c r="E640" i="4"/>
  <c r="E635" i="4"/>
  <c r="E632" i="4"/>
  <c r="E629" i="4"/>
  <c r="E626" i="4"/>
  <c r="E624" i="4"/>
  <c r="E438" i="4"/>
  <c r="E437" i="4" s="1"/>
  <c r="E433" i="4"/>
  <c r="E431" i="4"/>
  <c r="E429" i="4" s="1"/>
  <c r="E424" i="4"/>
  <c r="E422" i="4"/>
  <c r="E419" i="4"/>
  <c r="E414" i="4"/>
  <c r="E408" i="4"/>
  <c r="E402" i="4"/>
  <c r="E385" i="4"/>
  <c r="E384" i="4" s="1"/>
  <c r="E380" i="4"/>
  <c r="E52" i="7"/>
  <c r="E59" i="7"/>
  <c r="E46" i="7"/>
  <c r="H75" i="12" l="1"/>
  <c r="I75" i="12" s="1"/>
  <c r="H80" i="12"/>
  <c r="E718" i="4"/>
  <c r="E716" i="4" s="1"/>
  <c r="E811" i="4" s="1"/>
  <c r="E428" i="4"/>
  <c r="E379" i="4"/>
  <c r="E800" i="4" s="1"/>
  <c r="E401" i="4"/>
  <c r="E639" i="4"/>
  <c r="E413" i="4"/>
  <c r="E623" i="4"/>
  <c r="E621" i="4" s="1"/>
  <c r="E809" i="4" s="1"/>
  <c r="F59" i="7"/>
  <c r="E100" i="12"/>
  <c r="K50" i="36" s="1"/>
  <c r="F120" i="12"/>
  <c r="J120" i="12" s="1"/>
  <c r="E399" i="4"/>
  <c r="E802" i="4" s="1"/>
  <c r="E712" i="4"/>
  <c r="E709" i="4"/>
  <c r="E705" i="4"/>
  <c r="E699" i="4"/>
  <c r="E695" i="4"/>
  <c r="E690" i="4"/>
  <c r="E685" i="4"/>
  <c r="E704" i="4" l="1"/>
  <c r="E684" i="4"/>
  <c r="E694" i="4"/>
  <c r="E664" i="4" l="1"/>
  <c r="E27" i="12"/>
  <c r="K48" i="36" s="1"/>
  <c r="E17" i="12"/>
  <c r="F17" i="12" s="1"/>
  <c r="E16" i="12"/>
  <c r="F16" i="12" s="1"/>
  <c r="E15" i="12"/>
  <c r="E6" i="12" s="1"/>
  <c r="E86" i="7"/>
  <c r="J88" i="7"/>
  <c r="K88" i="7"/>
  <c r="J89" i="7"/>
  <c r="K89" i="7"/>
  <c r="J90" i="7"/>
  <c r="K90" i="7"/>
  <c r="E68" i="7"/>
  <c r="E74" i="7"/>
  <c r="E77" i="7"/>
  <c r="J40" i="7"/>
  <c r="K40" i="7"/>
  <c r="J75" i="7"/>
  <c r="K75" i="7"/>
  <c r="E56" i="7"/>
  <c r="E50" i="7"/>
  <c r="F50" i="7" s="1"/>
  <c r="E37" i="7"/>
  <c r="E555" i="4"/>
  <c r="E552" i="4"/>
  <c r="E547" i="4"/>
  <c r="E544" i="4"/>
  <c r="E540" i="4"/>
  <c r="E537" i="4"/>
  <c r="E524" i="4"/>
  <c r="E529" i="4"/>
  <c r="E519" i="4"/>
  <c r="E517" i="4" s="1"/>
  <c r="E516" i="4" s="1"/>
  <c r="E509" i="4"/>
  <c r="E508" i="4" s="1"/>
  <c r="E504" i="4"/>
  <c r="E502" i="4"/>
  <c r="E501" i="4" s="1"/>
  <c r="E497" i="4"/>
  <c r="E494" i="4"/>
  <c r="E271" i="4"/>
  <c r="E274" i="4"/>
  <c r="E267" i="4"/>
  <c r="E252" i="4"/>
  <c r="E256" i="4"/>
  <c r="E241" i="4"/>
  <c r="E240" i="4" s="1"/>
  <c r="E230" i="4"/>
  <c r="E234" i="4"/>
  <c r="E237" i="4"/>
  <c r="E206" i="4"/>
  <c r="E210" i="4"/>
  <c r="E196" i="4"/>
  <c r="E201" i="4"/>
  <c r="E187" i="4"/>
  <c r="E186" i="4" s="1"/>
  <c r="E183" i="4"/>
  <c r="E174" i="4"/>
  <c r="E167" i="4"/>
  <c r="E156" i="4"/>
  <c r="E152" i="4"/>
  <c r="E145" i="4"/>
  <c r="E140" i="4" s="1"/>
  <c r="E134" i="4"/>
  <c r="E137" i="4"/>
  <c r="E130" i="4"/>
  <c r="E132" i="4"/>
  <c r="E123" i="4"/>
  <c r="E120" i="4"/>
  <c r="E115" i="4"/>
  <c r="E107" i="4"/>
  <c r="E99" i="4"/>
  <c r="E98" i="4" s="1"/>
  <c r="E94" i="4"/>
  <c r="E77" i="4"/>
  <c r="K1634" i="17" l="1"/>
  <c r="I2009" i="17"/>
  <c r="E810" i="4"/>
  <c r="E205" i="4"/>
  <c r="E251" i="4"/>
  <c r="E129" i="4"/>
  <c r="E195" i="4"/>
  <c r="E551" i="4"/>
  <c r="E229" i="4"/>
  <c r="E523" i="4"/>
  <c r="I1635" i="17"/>
  <c r="K26" i="36"/>
  <c r="K35" i="36"/>
  <c r="K47" i="36"/>
  <c r="E83" i="7"/>
  <c r="K41" i="36"/>
  <c r="M26" i="36"/>
  <c r="E42" i="7"/>
  <c r="K34" i="36"/>
  <c r="E67" i="7"/>
  <c r="L48" i="36"/>
  <c r="F15" i="12"/>
  <c r="E35" i="7"/>
  <c r="E536" i="4"/>
  <c r="E493" i="4"/>
  <c r="E266" i="4"/>
  <c r="E221" i="4"/>
  <c r="E217" i="4"/>
  <c r="E178" i="4"/>
  <c r="E177" i="4" s="1"/>
  <c r="E166" i="4"/>
  <c r="E151" i="4"/>
  <c r="E119" i="4"/>
  <c r="E106" i="4"/>
  <c r="E82" i="4"/>
  <c r="E81" i="4" s="1"/>
  <c r="K1635" i="17" l="1"/>
  <c r="I1950" i="17"/>
  <c r="O1634" i="17"/>
  <c r="P1634" i="17" s="1"/>
  <c r="K2009" i="17"/>
  <c r="O2009" i="17" s="1"/>
  <c r="P2009" i="17" s="1"/>
  <c r="E491" i="4"/>
  <c r="E534" i="4"/>
  <c r="I1633" i="17"/>
  <c r="K1633" i="17" s="1"/>
  <c r="O1633" i="17" s="1"/>
  <c r="P1633" i="17" s="1"/>
  <c r="E806" i="4"/>
  <c r="E216" i="4"/>
  <c r="E127" i="4" s="1"/>
  <c r="K27" i="36"/>
  <c r="M48" i="36"/>
  <c r="M34" i="36"/>
  <c r="K33" i="36"/>
  <c r="M41" i="36"/>
  <c r="K39" i="36"/>
  <c r="M39" i="36" s="1"/>
  <c r="K1362" i="17" l="1"/>
  <c r="I2005" i="17"/>
  <c r="K1447" i="17"/>
  <c r="I2006" i="17"/>
  <c r="O1635" i="17"/>
  <c r="P1635" i="17" s="1"/>
  <c r="K1950" i="17"/>
  <c r="O1950" i="17" s="1"/>
  <c r="P1950" i="17" s="1"/>
  <c r="E807" i="4"/>
  <c r="E798" i="4"/>
  <c r="I1365" i="17"/>
  <c r="I1448" i="17"/>
  <c r="I1947" i="17" s="1"/>
  <c r="K25" i="36"/>
  <c r="E69" i="4"/>
  <c r="E68" i="4" s="1"/>
  <c r="E58" i="4"/>
  <c r="E61" i="4"/>
  <c r="K462" i="17" l="1"/>
  <c r="I1995" i="17"/>
  <c r="K1365" i="17"/>
  <c r="I1946" i="17"/>
  <c r="O1447" i="17"/>
  <c r="P1447" i="17" s="1"/>
  <c r="K2006" i="17"/>
  <c r="O2006" i="17" s="1"/>
  <c r="P2006" i="17" s="1"/>
  <c r="O1362" i="17"/>
  <c r="P1362" i="17" s="1"/>
  <c r="K2005" i="17"/>
  <c r="O2005" i="17" s="1"/>
  <c r="P2005" i="17" s="1"/>
  <c r="I1446" i="17"/>
  <c r="K1446" i="17" s="1"/>
  <c r="O1446" i="17" s="1"/>
  <c r="P1446" i="17" s="1"/>
  <c r="K1448" i="17"/>
  <c r="I1361" i="17"/>
  <c r="K1361" i="17" s="1"/>
  <c r="O1361" i="17" s="1"/>
  <c r="P1361" i="17" s="1"/>
  <c r="I464" i="17"/>
  <c r="E57" i="4"/>
  <c r="E55" i="4" s="1"/>
  <c r="O1448" i="17" l="1"/>
  <c r="P1448" i="17" s="1"/>
  <c r="K1947" i="17"/>
  <c r="O1947" i="17" s="1"/>
  <c r="P1947" i="17" s="1"/>
  <c r="K464" i="17"/>
  <c r="I1936" i="17"/>
  <c r="O1365" i="17"/>
  <c r="P1365" i="17" s="1"/>
  <c r="K1946" i="17"/>
  <c r="O1946" i="17" s="1"/>
  <c r="P1946" i="17" s="1"/>
  <c r="O462" i="17"/>
  <c r="P462" i="17" s="1"/>
  <c r="K1995" i="17"/>
  <c r="O1995" i="17" s="1"/>
  <c r="P1995" i="17" s="1"/>
  <c r="I313" i="17"/>
  <c r="E797" i="4"/>
  <c r="I461" i="17"/>
  <c r="K461" i="17" s="1"/>
  <c r="O461" i="17" s="1"/>
  <c r="P461" i="17" s="1"/>
  <c r="E52" i="12"/>
  <c r="K76" i="17" s="1"/>
  <c r="O76" i="17" s="1"/>
  <c r="P76" i="17" s="1"/>
  <c r="E784" i="4"/>
  <c r="E783" i="4" s="1"/>
  <c r="E772" i="4"/>
  <c r="E768" i="4" s="1"/>
  <c r="E764" i="4"/>
  <c r="E763" i="4" s="1"/>
  <c r="E759" i="4"/>
  <c r="E755" i="4"/>
  <c r="E614" i="4"/>
  <c r="E618" i="4"/>
  <c r="E610" i="4"/>
  <c r="E607" i="4"/>
  <c r="E601" i="4"/>
  <c r="E600" i="4" s="1"/>
  <c r="E595" i="4"/>
  <c r="E594" i="4" s="1"/>
  <c r="E590" i="4"/>
  <c r="E586" i="4"/>
  <c r="E581" i="4"/>
  <c r="E579" i="4"/>
  <c r="E574" i="4"/>
  <c r="E570" i="4"/>
  <c r="E566" i="4"/>
  <c r="E563" i="4"/>
  <c r="K313" i="17" l="1"/>
  <c r="I1994" i="17"/>
  <c r="O464" i="17"/>
  <c r="P464" i="17" s="1"/>
  <c r="K1936" i="17"/>
  <c r="O1936" i="17" s="1"/>
  <c r="P1936" i="17" s="1"/>
  <c r="E585" i="4"/>
  <c r="E748" i="4"/>
  <c r="E746" i="4" s="1"/>
  <c r="I316" i="17"/>
  <c r="I1935" i="17" s="1"/>
  <c r="E613" i="4"/>
  <c r="E578" i="4"/>
  <c r="E606" i="4"/>
  <c r="E562" i="4"/>
  <c r="E354" i="4"/>
  <c r="E280" i="4"/>
  <c r="E279" i="4" s="1"/>
  <c r="E374" i="4"/>
  <c r="E369" i="4"/>
  <c r="E368" i="4" s="1"/>
  <c r="E365" i="4"/>
  <c r="E361" i="4"/>
  <c r="E352" i="4"/>
  <c r="E347" i="4"/>
  <c r="E341" i="4"/>
  <c r="E339" i="4"/>
  <c r="E335" i="4"/>
  <c r="E332" i="4"/>
  <c r="E315" i="4"/>
  <c r="E314" i="4" s="1"/>
  <c r="E311" i="4"/>
  <c r="E309" i="4"/>
  <c r="E303" i="4"/>
  <c r="E298" i="4"/>
  <c r="E296" i="4"/>
  <c r="E290" i="4"/>
  <c r="E51" i="4"/>
  <c r="E50" i="4" s="1"/>
  <c r="E46" i="4"/>
  <c r="E45" i="4" s="1"/>
  <c r="E39" i="4"/>
  <c r="E38" i="4" s="1"/>
  <c r="E33" i="4"/>
  <c r="J32" i="4"/>
  <c r="E31" i="4"/>
  <c r="J31" i="4" s="1"/>
  <c r="O313" i="17" l="1"/>
  <c r="P313" i="17" s="1"/>
  <c r="K1994" i="17"/>
  <c r="O1994" i="17" s="1"/>
  <c r="P1994" i="17" s="1"/>
  <c r="I312" i="17"/>
  <c r="K312" i="17" s="1"/>
  <c r="O312" i="17" s="1"/>
  <c r="P312" i="17" s="1"/>
  <c r="K316" i="17"/>
  <c r="E812" i="4"/>
  <c r="I295" i="17"/>
  <c r="E796" i="4"/>
  <c r="E331" i="4"/>
  <c r="E302" i="4"/>
  <c r="E346" i="4"/>
  <c r="E560" i="4"/>
  <c r="E289" i="4"/>
  <c r="E360" i="4"/>
  <c r="K295" i="17" l="1"/>
  <c r="I1993" i="17"/>
  <c r="O316" i="17"/>
  <c r="P316" i="17" s="1"/>
  <c r="K1935" i="17"/>
  <c r="O1935" i="17" s="1"/>
  <c r="P1935" i="17" s="1"/>
  <c r="K1765" i="17"/>
  <c r="I2011" i="17"/>
  <c r="I297" i="17"/>
  <c r="E808" i="4"/>
  <c r="I1767" i="17"/>
  <c r="E277" i="4"/>
  <c r="E26" i="4"/>
  <c r="E14" i="7"/>
  <c r="K1767" i="17" l="1"/>
  <c r="I1952" i="17"/>
  <c r="K297" i="17"/>
  <c r="I1934" i="17"/>
  <c r="O1765" i="17"/>
  <c r="P1765" i="17" s="1"/>
  <c r="K2011" i="17"/>
  <c r="O2011" i="17" s="1"/>
  <c r="P2011" i="17" s="1"/>
  <c r="K1498" i="17"/>
  <c r="I2007" i="17"/>
  <c r="O295" i="17"/>
  <c r="P295" i="17" s="1"/>
  <c r="K1993" i="17"/>
  <c r="O1993" i="17" s="1"/>
  <c r="P1993" i="17" s="1"/>
  <c r="O1767" i="17"/>
  <c r="P1767" i="17" s="1"/>
  <c r="I1764" i="17"/>
  <c r="K1764" i="17" s="1"/>
  <c r="O1764" i="17" s="1"/>
  <c r="P1764" i="17" s="1"/>
  <c r="I1499" i="17"/>
  <c r="I1948" i="17" s="1"/>
  <c r="E799" i="4"/>
  <c r="I294" i="17"/>
  <c r="K294" i="17" s="1"/>
  <c r="O294" i="17" s="1"/>
  <c r="P294" i="17" s="1"/>
  <c r="K13" i="36"/>
  <c r="M13" i="36"/>
  <c r="E25" i="4"/>
  <c r="E23" i="4" s="1"/>
  <c r="O1498" i="17" l="1"/>
  <c r="P1498" i="17" s="1"/>
  <c r="K2007" i="17"/>
  <c r="O2007" i="17" s="1"/>
  <c r="P2007" i="17" s="1"/>
  <c r="O297" i="17"/>
  <c r="P297" i="17" s="1"/>
  <c r="K1934" i="17"/>
  <c r="O1934" i="17" s="1"/>
  <c r="P1934" i="17" s="1"/>
  <c r="K659" i="17"/>
  <c r="I1997" i="17"/>
  <c r="K1952" i="17"/>
  <c r="O1952" i="17" s="1"/>
  <c r="P1952" i="17" s="1"/>
  <c r="I1497" i="17"/>
  <c r="K1497" i="17" s="1"/>
  <c r="O1497" i="17" s="1"/>
  <c r="P1497" i="17" s="1"/>
  <c r="K1499" i="17"/>
  <c r="E795" i="4"/>
  <c r="I663" i="17"/>
  <c r="E17" i="7"/>
  <c r="E478" i="4"/>
  <c r="E477" i="4" s="1"/>
  <c r="E473" i="4"/>
  <c r="E470" i="4"/>
  <c r="E467" i="4"/>
  <c r="E464" i="4"/>
  <c r="E392" i="4"/>
  <c r="E391" i="4" s="1"/>
  <c r="E83" i="12"/>
  <c r="E5" i="12"/>
  <c r="F22" i="12"/>
  <c r="K75" i="17" l="1"/>
  <c r="I1992" i="17"/>
  <c r="I2012" i="17" s="1"/>
  <c r="O1499" i="17"/>
  <c r="P1499" i="17" s="1"/>
  <c r="K1948" i="17"/>
  <c r="O1948" i="17" s="1"/>
  <c r="P1948" i="17" s="1"/>
  <c r="K663" i="17"/>
  <c r="I1938" i="17"/>
  <c r="O659" i="17"/>
  <c r="P659" i="17" s="1"/>
  <c r="K1997" i="17"/>
  <c r="O1997" i="17" s="1"/>
  <c r="P1997" i="17" s="1"/>
  <c r="E801" i="4"/>
  <c r="I658" i="17"/>
  <c r="K658" i="17" s="1"/>
  <c r="O658" i="17" s="1"/>
  <c r="P658" i="17" s="1"/>
  <c r="I77" i="17"/>
  <c r="I1933" i="17" s="1"/>
  <c r="I1953" i="17" s="1"/>
  <c r="I1962" i="17" s="1"/>
  <c r="E13" i="7"/>
  <c r="E94" i="7" s="1"/>
  <c r="K14" i="36"/>
  <c r="E50" i="12"/>
  <c r="E463" i="4"/>
  <c r="E461" i="4"/>
  <c r="E805" i="4" s="1"/>
  <c r="E813" i="4" s="1"/>
  <c r="F134" i="12"/>
  <c r="F133" i="12"/>
  <c r="F132" i="12"/>
  <c r="F130" i="12"/>
  <c r="F129" i="12"/>
  <c r="F128" i="12"/>
  <c r="F127" i="12"/>
  <c r="F125" i="12"/>
  <c r="F124" i="12"/>
  <c r="F123" i="12"/>
  <c r="F122" i="12"/>
  <c r="F121" i="12"/>
  <c r="F116" i="12"/>
  <c r="F115" i="12"/>
  <c r="F114" i="12"/>
  <c r="F112" i="12"/>
  <c r="F111" i="12"/>
  <c r="F109" i="12"/>
  <c r="F107" i="12"/>
  <c r="F106" i="12"/>
  <c r="F104" i="12"/>
  <c r="F103" i="12"/>
  <c r="F101" i="12"/>
  <c r="F99" i="12"/>
  <c r="F98" i="12"/>
  <c r="F96" i="12"/>
  <c r="F95" i="12"/>
  <c r="F94" i="12"/>
  <c r="F92" i="12"/>
  <c r="F91" i="12"/>
  <c r="F90" i="12"/>
  <c r="F89" i="12"/>
  <c r="F88" i="12"/>
  <c r="F87" i="12"/>
  <c r="F86" i="12"/>
  <c r="F85" i="12"/>
  <c r="F84" i="12"/>
  <c r="F82" i="12"/>
  <c r="F78" i="12"/>
  <c r="F77" i="12"/>
  <c r="F76" i="12"/>
  <c r="F74" i="12"/>
  <c r="F73" i="12"/>
  <c r="F72" i="12"/>
  <c r="F70" i="12"/>
  <c r="F69" i="12"/>
  <c r="F68" i="12"/>
  <c r="F67" i="12"/>
  <c r="F66" i="12"/>
  <c r="F65" i="12"/>
  <c r="F64" i="12"/>
  <c r="F63" i="12"/>
  <c r="F62" i="12"/>
  <c r="F61" i="12"/>
  <c r="F60" i="12"/>
  <c r="F59" i="12"/>
  <c r="F58" i="12"/>
  <c r="F57" i="12"/>
  <c r="F56" i="12"/>
  <c r="F55" i="12"/>
  <c r="F54" i="12"/>
  <c r="F53" i="12"/>
  <c r="F51" i="12"/>
  <c r="F48" i="12"/>
  <c r="F47" i="12"/>
  <c r="F45" i="12"/>
  <c r="F44" i="12"/>
  <c r="F42" i="12"/>
  <c r="F39" i="12"/>
  <c r="F38" i="12"/>
  <c r="F35" i="12"/>
  <c r="F33" i="12"/>
  <c r="F32" i="12"/>
  <c r="F31" i="12"/>
  <c r="F30" i="12"/>
  <c r="F28" i="12"/>
  <c r="F26" i="12"/>
  <c r="F21" i="12"/>
  <c r="F25" i="12"/>
  <c r="F20" i="12"/>
  <c r="F19" i="12"/>
  <c r="F18" i="12"/>
  <c r="F14" i="12"/>
  <c r="F13" i="12"/>
  <c r="F12" i="12"/>
  <c r="F11" i="12"/>
  <c r="F9" i="12"/>
  <c r="F8" i="12"/>
  <c r="F814" i="4"/>
  <c r="J792" i="4"/>
  <c r="J791" i="4"/>
  <c r="J789" i="4"/>
  <c r="J788" i="4"/>
  <c r="K788" i="4" s="1"/>
  <c r="J786" i="4"/>
  <c r="K786" i="4" s="1"/>
  <c r="J785" i="4"/>
  <c r="K785" i="4" s="1"/>
  <c r="J782" i="4"/>
  <c r="J781" i="4"/>
  <c r="K781" i="4" s="1"/>
  <c r="J780" i="4"/>
  <c r="K780" i="4" s="1"/>
  <c r="J778" i="4"/>
  <c r="K778" i="4" s="1"/>
  <c r="J777" i="4"/>
  <c r="K777" i="4" s="1"/>
  <c r="J774" i="4"/>
  <c r="J773" i="4"/>
  <c r="K773" i="4" s="1"/>
  <c r="J771" i="4"/>
  <c r="K771" i="4" s="1"/>
  <c r="J770" i="4"/>
  <c r="K770" i="4" s="1"/>
  <c r="J767" i="4"/>
  <c r="J766" i="4"/>
  <c r="K766" i="4" s="1"/>
  <c r="J765" i="4"/>
  <c r="K765" i="4" s="1"/>
  <c r="J762" i="4"/>
  <c r="J761" i="4"/>
  <c r="K761" i="4" s="1"/>
  <c r="J760" i="4"/>
  <c r="K760" i="4" s="1"/>
  <c r="J758" i="4"/>
  <c r="K758" i="4" s="1"/>
  <c r="J757" i="4"/>
  <c r="K757" i="4" s="1"/>
  <c r="J756" i="4"/>
  <c r="K756" i="4" s="1"/>
  <c r="G754" i="4"/>
  <c r="J753" i="4"/>
  <c r="K753" i="4" s="1"/>
  <c r="G751" i="4"/>
  <c r="G750" i="4"/>
  <c r="J747" i="4"/>
  <c r="J745" i="4"/>
  <c r="J744" i="4"/>
  <c r="K744" i="4" s="1"/>
  <c r="J743" i="4"/>
  <c r="K743" i="4" s="1"/>
  <c r="J742" i="4"/>
  <c r="K742" i="4" s="1"/>
  <c r="J741" i="4"/>
  <c r="K741" i="4" s="1"/>
  <c r="J739" i="4"/>
  <c r="K739" i="4" s="1"/>
  <c r="J737" i="4"/>
  <c r="K737" i="4" s="1"/>
  <c r="J736" i="4"/>
  <c r="K736" i="4" s="1"/>
  <c r="J735" i="4"/>
  <c r="K735" i="4" s="1"/>
  <c r="J734" i="4"/>
  <c r="K734" i="4" s="1"/>
  <c r="J733" i="4"/>
  <c r="K733" i="4" s="1"/>
  <c r="J730" i="4"/>
  <c r="J729" i="4"/>
  <c r="K729" i="4" s="1"/>
  <c r="J728" i="4"/>
  <c r="K728" i="4" s="1"/>
  <c r="J727" i="4"/>
  <c r="K727" i="4" s="1"/>
  <c r="J725" i="4"/>
  <c r="K725" i="4" s="1"/>
  <c r="J723" i="4"/>
  <c r="J722" i="4"/>
  <c r="K722" i="4" s="1"/>
  <c r="J721" i="4"/>
  <c r="K721" i="4" s="1"/>
  <c r="J720" i="4"/>
  <c r="K720" i="4" s="1"/>
  <c r="J717" i="4"/>
  <c r="J715" i="4"/>
  <c r="J714" i="4"/>
  <c r="K714" i="4" s="1"/>
  <c r="J713" i="4"/>
  <c r="K713" i="4" s="1"/>
  <c r="J711" i="4"/>
  <c r="K711" i="4" s="1"/>
  <c r="J710" i="4"/>
  <c r="K710" i="4" s="1"/>
  <c r="J708" i="4"/>
  <c r="K708" i="4" s="1"/>
  <c r="J707" i="4"/>
  <c r="K707" i="4" s="1"/>
  <c r="J706" i="4"/>
  <c r="K706" i="4" s="1"/>
  <c r="J703" i="4"/>
  <c r="J702" i="4"/>
  <c r="K702" i="4" s="1"/>
  <c r="J701" i="4"/>
  <c r="K701" i="4" s="1"/>
  <c r="J700" i="4"/>
  <c r="K700" i="4" s="1"/>
  <c r="J698" i="4"/>
  <c r="K698" i="4" s="1"/>
  <c r="J697" i="4"/>
  <c r="K697" i="4" s="1"/>
  <c r="J696" i="4"/>
  <c r="K696" i="4" s="1"/>
  <c r="J693" i="4"/>
  <c r="J692" i="4"/>
  <c r="K692" i="4" s="1"/>
  <c r="J691" i="4"/>
  <c r="K691" i="4" s="1"/>
  <c r="J689" i="4"/>
  <c r="K689" i="4" s="1"/>
  <c r="J688" i="4"/>
  <c r="K688" i="4" s="1"/>
  <c r="J687" i="4"/>
  <c r="K687" i="4" s="1"/>
  <c r="J686" i="4"/>
  <c r="K686" i="4" s="1"/>
  <c r="J683" i="4"/>
  <c r="J682" i="4"/>
  <c r="K682" i="4" s="1"/>
  <c r="J681" i="4"/>
  <c r="K681" i="4" s="1"/>
  <c r="J680" i="4"/>
  <c r="K680" i="4" s="1"/>
  <c r="J678" i="4"/>
  <c r="K678" i="4" s="1"/>
  <c r="J676" i="4"/>
  <c r="K676" i="4" s="1"/>
  <c r="J675" i="4"/>
  <c r="K675" i="4" s="1"/>
  <c r="J673" i="4"/>
  <c r="K673" i="4" s="1"/>
  <c r="J672" i="4"/>
  <c r="K672" i="4" s="1"/>
  <c r="J670" i="4"/>
  <c r="K670" i="4" s="1"/>
  <c r="J668" i="4"/>
  <c r="K668" i="4" s="1"/>
  <c r="J665" i="4"/>
  <c r="J663" i="4"/>
  <c r="J662" i="4"/>
  <c r="K662" i="4" s="1"/>
  <c r="J661" i="4"/>
  <c r="K661" i="4" s="1"/>
  <c r="J660" i="4"/>
  <c r="K660" i="4" s="1"/>
  <c r="J659" i="4"/>
  <c r="K659" i="4" s="1"/>
  <c r="J658" i="4"/>
  <c r="K658" i="4" s="1"/>
  <c r="J657" i="4"/>
  <c r="K657" i="4" s="1"/>
  <c r="J654" i="4"/>
  <c r="J653" i="4"/>
  <c r="J651" i="4"/>
  <c r="K651" i="4" s="1"/>
  <c r="J650" i="4"/>
  <c r="K650" i="4" s="1"/>
  <c r="J648" i="4"/>
  <c r="K648" i="4" s="1"/>
  <c r="J647" i="4"/>
  <c r="K647" i="4" s="1"/>
  <c r="J645" i="4"/>
  <c r="K645" i="4" s="1"/>
  <c r="J644" i="4"/>
  <c r="K644" i="4" s="1"/>
  <c r="J643" i="4"/>
  <c r="K643" i="4" s="1"/>
  <c r="J642" i="4"/>
  <c r="K642" i="4" s="1"/>
  <c r="J641" i="4"/>
  <c r="K641" i="4" s="1"/>
  <c r="J638" i="4"/>
  <c r="J637" i="4"/>
  <c r="K637" i="4" s="1"/>
  <c r="J636" i="4"/>
  <c r="K636" i="4" s="1"/>
  <c r="J634" i="4"/>
  <c r="K634" i="4" s="1"/>
  <c r="J633" i="4"/>
  <c r="K633" i="4" s="1"/>
  <c r="J631" i="4"/>
  <c r="K631" i="4" s="1"/>
  <c r="J628" i="4"/>
  <c r="K628" i="4" s="1"/>
  <c r="J627" i="4"/>
  <c r="K627" i="4" s="1"/>
  <c r="J625" i="4"/>
  <c r="K625" i="4" s="1"/>
  <c r="J622" i="4"/>
  <c r="J620" i="4"/>
  <c r="J619" i="4"/>
  <c r="K619" i="4" s="1"/>
  <c r="J617" i="4"/>
  <c r="K617" i="4" s="1"/>
  <c r="J616" i="4"/>
  <c r="K616" i="4" s="1"/>
  <c r="J615" i="4"/>
  <c r="K615" i="4" s="1"/>
  <c r="J612" i="4"/>
  <c r="J611" i="4"/>
  <c r="K611" i="4" s="1"/>
  <c r="J609" i="4"/>
  <c r="K609" i="4" s="1"/>
  <c r="J608" i="4"/>
  <c r="K608" i="4" s="1"/>
  <c r="J605" i="4"/>
  <c r="J604" i="4"/>
  <c r="J603" i="4"/>
  <c r="K603" i="4" s="1"/>
  <c r="J602" i="4"/>
  <c r="K602" i="4" s="1"/>
  <c r="J599" i="4"/>
  <c r="J598" i="4"/>
  <c r="K598" i="4" s="1"/>
  <c r="J597" i="4"/>
  <c r="K597" i="4" s="1"/>
  <c r="J596" i="4"/>
  <c r="K596" i="4" s="1"/>
  <c r="J593" i="4"/>
  <c r="J592" i="4"/>
  <c r="K592" i="4" s="1"/>
  <c r="J591" i="4"/>
  <c r="K591" i="4" s="1"/>
  <c r="J589" i="4"/>
  <c r="K589" i="4" s="1"/>
  <c r="J588" i="4"/>
  <c r="K588" i="4" s="1"/>
  <c r="J587" i="4"/>
  <c r="K587" i="4" s="1"/>
  <c r="J584" i="4"/>
  <c r="J583" i="4"/>
  <c r="K583" i="4" s="1"/>
  <c r="J582" i="4"/>
  <c r="K582" i="4" s="1"/>
  <c r="J580" i="4"/>
  <c r="K580" i="4" s="1"/>
  <c r="J577" i="4"/>
  <c r="J576" i="4"/>
  <c r="K576" i="4" s="1"/>
  <c r="J575" i="4"/>
  <c r="K575" i="4" s="1"/>
  <c r="J573" i="4"/>
  <c r="K573" i="4" s="1"/>
  <c r="J572" i="4"/>
  <c r="K572" i="4" s="1"/>
  <c r="J571" i="4"/>
  <c r="K571" i="4" s="1"/>
  <c r="J569" i="4"/>
  <c r="K569" i="4" s="1"/>
  <c r="J568" i="4"/>
  <c r="K568" i="4" s="1"/>
  <c r="J567" i="4"/>
  <c r="K567" i="4" s="1"/>
  <c r="J565" i="4"/>
  <c r="K565" i="4" s="1"/>
  <c r="J564" i="4"/>
  <c r="K564" i="4" s="1"/>
  <c r="J561" i="4"/>
  <c r="J559" i="4"/>
  <c r="J558" i="4"/>
  <c r="K558" i="4" s="1"/>
  <c r="J557" i="4"/>
  <c r="K557" i="4" s="1"/>
  <c r="J556" i="4"/>
  <c r="K556" i="4" s="1"/>
  <c r="J554" i="4"/>
  <c r="K554" i="4" s="1"/>
  <c r="J553" i="4"/>
  <c r="K553" i="4" s="1"/>
  <c r="J550" i="4"/>
  <c r="J549" i="4"/>
  <c r="K549" i="4" s="1"/>
  <c r="J548" i="4"/>
  <c r="K548" i="4" s="1"/>
  <c r="J546" i="4"/>
  <c r="K546" i="4" s="1"/>
  <c r="J545" i="4"/>
  <c r="K545" i="4" s="1"/>
  <c r="J543" i="4"/>
  <c r="J542" i="4"/>
  <c r="K542" i="4" s="1"/>
  <c r="J541" i="4"/>
  <c r="K541" i="4" s="1"/>
  <c r="J539" i="4"/>
  <c r="K539" i="4" s="1"/>
  <c r="J538" i="4"/>
  <c r="K538" i="4" s="1"/>
  <c r="J535" i="4"/>
  <c r="J533" i="4"/>
  <c r="J532" i="4"/>
  <c r="J531" i="4"/>
  <c r="K531" i="4" s="1"/>
  <c r="J530" i="4"/>
  <c r="K530" i="4" s="1"/>
  <c r="J528" i="4"/>
  <c r="J527" i="4"/>
  <c r="K527" i="4" s="1"/>
  <c r="J526" i="4"/>
  <c r="K526" i="4" s="1"/>
  <c r="J525" i="4"/>
  <c r="K525" i="4" s="1"/>
  <c r="J522" i="4"/>
  <c r="J521" i="4"/>
  <c r="K521" i="4" s="1"/>
  <c r="J519" i="4"/>
  <c r="K519" i="4" s="1"/>
  <c r="J518" i="4"/>
  <c r="K518" i="4" s="1"/>
  <c r="J515" i="4"/>
  <c r="J514" i="4"/>
  <c r="K514" i="4" s="1"/>
  <c r="J513" i="4"/>
  <c r="K513" i="4" s="1"/>
  <c r="J512" i="4"/>
  <c r="K512" i="4" s="1"/>
  <c r="J511" i="4"/>
  <c r="K511" i="4" s="1"/>
  <c r="J510" i="4"/>
  <c r="K510" i="4" s="1"/>
  <c r="J507" i="4"/>
  <c r="J506" i="4"/>
  <c r="K506" i="4" s="1"/>
  <c r="J505" i="4"/>
  <c r="K505" i="4" s="1"/>
  <c r="J503" i="4"/>
  <c r="K503" i="4" s="1"/>
  <c r="J502" i="4"/>
  <c r="K502" i="4" s="1"/>
  <c r="J500" i="4"/>
  <c r="K500" i="4" s="1"/>
  <c r="J499" i="4"/>
  <c r="K499" i="4" s="1"/>
  <c r="J498" i="4"/>
  <c r="K498" i="4" s="1"/>
  <c r="J496" i="4"/>
  <c r="K496" i="4" s="1"/>
  <c r="J495" i="4"/>
  <c r="K495" i="4" s="1"/>
  <c r="J492" i="4"/>
  <c r="J490" i="4"/>
  <c r="J489" i="4"/>
  <c r="K489" i="4" s="1"/>
  <c r="J488" i="4"/>
  <c r="K488" i="4" s="1"/>
  <c r="J487" i="4"/>
  <c r="K487" i="4" s="1"/>
  <c r="J486" i="4"/>
  <c r="K486" i="4" s="1"/>
  <c r="J485" i="4"/>
  <c r="K485" i="4" s="1"/>
  <c r="J482" i="4"/>
  <c r="J481" i="4"/>
  <c r="K481" i="4" s="1"/>
  <c r="J479" i="4"/>
  <c r="K479" i="4" s="1"/>
  <c r="J476" i="4"/>
  <c r="J475" i="4"/>
  <c r="K475" i="4" s="1"/>
  <c r="J474" i="4"/>
  <c r="K474" i="4" s="1"/>
  <c r="J472" i="4"/>
  <c r="K472" i="4" s="1"/>
  <c r="J471" i="4"/>
  <c r="K471" i="4" s="1"/>
  <c r="J469" i="4"/>
  <c r="K469" i="4" s="1"/>
  <c r="J468" i="4"/>
  <c r="K468" i="4" s="1"/>
  <c r="J466" i="4"/>
  <c r="K466" i="4" s="1"/>
  <c r="J465" i="4"/>
  <c r="K465" i="4" s="1"/>
  <c r="J462" i="4"/>
  <c r="J460" i="4"/>
  <c r="J459" i="4"/>
  <c r="K459" i="4" s="1"/>
  <c r="J457" i="4"/>
  <c r="K457" i="4" s="1"/>
  <c r="J456" i="4"/>
  <c r="K456" i="4" s="1"/>
  <c r="J453" i="4"/>
  <c r="J452" i="4"/>
  <c r="K452" i="4" s="1"/>
  <c r="J451" i="4"/>
  <c r="K451" i="4" s="1"/>
  <c r="J450" i="4"/>
  <c r="K450" i="4" s="1"/>
  <c r="J449" i="4"/>
  <c r="K449" i="4" s="1"/>
  <c r="J448" i="4"/>
  <c r="K448" i="4" s="1"/>
  <c r="J447" i="4"/>
  <c r="J446" i="4"/>
  <c r="K446" i="4" s="1"/>
  <c r="J443" i="4"/>
  <c r="J442" i="4"/>
  <c r="K442" i="4" s="1"/>
  <c r="J440" i="4"/>
  <c r="K440" i="4" s="1"/>
  <c r="J439" i="4"/>
  <c r="K439" i="4" s="1"/>
  <c r="J436" i="4"/>
  <c r="J435" i="4"/>
  <c r="K435" i="4" s="1"/>
  <c r="J434" i="4"/>
  <c r="K434" i="4" s="1"/>
  <c r="J432" i="4"/>
  <c r="K432" i="4" s="1"/>
  <c r="J431" i="4"/>
  <c r="K431" i="4" s="1"/>
  <c r="J430" i="4"/>
  <c r="K430" i="4" s="1"/>
  <c r="J427" i="4"/>
  <c r="J426" i="4"/>
  <c r="K426" i="4" s="1"/>
  <c r="J425" i="4"/>
  <c r="K425" i="4" s="1"/>
  <c r="J423" i="4"/>
  <c r="K423" i="4" s="1"/>
  <c r="J421" i="4"/>
  <c r="K421" i="4" s="1"/>
  <c r="J420" i="4"/>
  <c r="K420" i="4" s="1"/>
  <c r="J418" i="4"/>
  <c r="K418" i="4" s="1"/>
  <c r="J417" i="4"/>
  <c r="K417" i="4" s="1"/>
  <c r="J416" i="4"/>
  <c r="K416" i="4" s="1"/>
  <c r="J415" i="4"/>
  <c r="K415" i="4" s="1"/>
  <c r="J412" i="4"/>
  <c r="J411" i="4"/>
  <c r="K411" i="4" s="1"/>
  <c r="J409" i="4"/>
  <c r="K409" i="4" s="1"/>
  <c r="J407" i="4"/>
  <c r="K407" i="4" s="1"/>
  <c r="J406" i="4"/>
  <c r="K406" i="4" s="1"/>
  <c r="J405" i="4"/>
  <c r="K405" i="4" s="1"/>
  <c r="J403" i="4"/>
  <c r="K403" i="4" s="1"/>
  <c r="J400" i="4"/>
  <c r="J398" i="4"/>
  <c r="J397" i="4"/>
  <c r="K397" i="4" s="1"/>
  <c r="J395" i="4"/>
  <c r="K395" i="4" s="1"/>
  <c r="J394" i="4"/>
  <c r="K394" i="4" s="1"/>
  <c r="J393" i="4"/>
  <c r="K393" i="4" s="1"/>
  <c r="J390" i="4"/>
  <c r="J389" i="4"/>
  <c r="K389" i="4" s="1"/>
  <c r="G387" i="4"/>
  <c r="J386" i="4"/>
  <c r="K386" i="4" s="1"/>
  <c r="J385" i="4"/>
  <c r="K385" i="4" s="1"/>
  <c r="J383" i="4"/>
  <c r="K383" i="4" s="1"/>
  <c r="J382" i="4"/>
  <c r="K382" i="4" s="1"/>
  <c r="J381" i="4"/>
  <c r="K381" i="4" s="1"/>
  <c r="J378" i="4"/>
  <c r="J377" i="4"/>
  <c r="J376" i="4"/>
  <c r="K376" i="4" s="1"/>
  <c r="J373" i="4"/>
  <c r="J372" i="4"/>
  <c r="K372" i="4" s="1"/>
  <c r="J371" i="4"/>
  <c r="K371" i="4" s="1"/>
  <c r="J370" i="4"/>
  <c r="K370" i="4" s="1"/>
  <c r="J367" i="4"/>
  <c r="J366" i="4"/>
  <c r="K366" i="4" s="1"/>
  <c r="J364" i="4"/>
  <c r="K364" i="4" s="1"/>
  <c r="J363" i="4"/>
  <c r="K363" i="4" s="1"/>
  <c r="J362" i="4"/>
  <c r="K362" i="4" s="1"/>
  <c r="J359" i="4"/>
  <c r="J358" i="4"/>
  <c r="K358" i="4" s="1"/>
  <c r="J356" i="4"/>
  <c r="K356" i="4" s="1"/>
  <c r="J355" i="4"/>
  <c r="K355" i="4" s="1"/>
  <c r="J353" i="4"/>
  <c r="J351" i="4"/>
  <c r="K351" i="4" s="1"/>
  <c r="J350" i="4"/>
  <c r="K350" i="4" s="1"/>
  <c r="J349" i="4"/>
  <c r="K349" i="4" s="1"/>
  <c r="J348" i="4"/>
  <c r="K348" i="4" s="1"/>
  <c r="J345" i="4"/>
  <c r="J344" i="4"/>
  <c r="K344" i="4" s="1"/>
  <c r="J342" i="4"/>
  <c r="J340" i="4"/>
  <c r="J338" i="4"/>
  <c r="J337" i="4"/>
  <c r="K337" i="4" s="1"/>
  <c r="J336" i="4"/>
  <c r="K336" i="4" s="1"/>
  <c r="J334" i="4"/>
  <c r="J333" i="4"/>
  <c r="K333" i="4" s="1"/>
  <c r="J330" i="4"/>
  <c r="J329" i="4"/>
  <c r="J328" i="4"/>
  <c r="J327" i="4"/>
  <c r="K327" i="4" s="1"/>
  <c r="J326" i="4"/>
  <c r="K326" i="4" s="1"/>
  <c r="J324" i="4"/>
  <c r="K324" i="4" s="1"/>
  <c r="J322" i="4"/>
  <c r="K322" i="4" s="1"/>
  <c r="J320" i="4"/>
  <c r="K320" i="4" s="1"/>
  <c r="J319" i="4"/>
  <c r="K319" i="4" s="1"/>
  <c r="J318" i="4"/>
  <c r="K318" i="4" s="1"/>
  <c r="J317" i="4"/>
  <c r="K317" i="4" s="1"/>
  <c r="J316" i="4"/>
  <c r="K316" i="4" s="1"/>
  <c r="J313" i="4"/>
  <c r="J312" i="4"/>
  <c r="K312" i="4" s="1"/>
  <c r="J310" i="4"/>
  <c r="K310" i="4" s="1"/>
  <c r="J308" i="4"/>
  <c r="K308" i="4" s="1"/>
  <c r="J307" i="4"/>
  <c r="K307" i="4" s="1"/>
  <c r="J306" i="4"/>
  <c r="K306" i="4" s="1"/>
  <c r="J305" i="4"/>
  <c r="K305" i="4" s="1"/>
  <c r="J304" i="4"/>
  <c r="K304" i="4" s="1"/>
  <c r="J301" i="4"/>
  <c r="J300" i="4"/>
  <c r="K300" i="4" s="1"/>
  <c r="J299" i="4"/>
  <c r="K299" i="4" s="1"/>
  <c r="J297" i="4"/>
  <c r="J295" i="4"/>
  <c r="K295" i="4" s="1"/>
  <c r="J294" i="4"/>
  <c r="K294" i="4" s="1"/>
  <c r="J293" i="4"/>
  <c r="K293" i="4" s="1"/>
  <c r="J292" i="4"/>
  <c r="K292" i="4" s="1"/>
  <c r="J291" i="4"/>
  <c r="K291" i="4" s="1"/>
  <c r="J288" i="4"/>
  <c r="J287" i="4"/>
  <c r="K287" i="4" s="1"/>
  <c r="J286" i="4"/>
  <c r="J283" i="4"/>
  <c r="J282" i="4"/>
  <c r="J281" i="4"/>
  <c r="J278" i="4"/>
  <c r="J276" i="4"/>
  <c r="J275" i="4"/>
  <c r="K275" i="4" s="1"/>
  <c r="J273" i="4"/>
  <c r="K273" i="4" s="1"/>
  <c r="J272" i="4"/>
  <c r="K272" i="4" s="1"/>
  <c r="J270" i="4"/>
  <c r="K270" i="4" s="1"/>
  <c r="J269" i="4"/>
  <c r="K269" i="4" s="1"/>
  <c r="J268" i="4"/>
  <c r="K268" i="4" s="1"/>
  <c r="J265" i="4"/>
  <c r="J264" i="4"/>
  <c r="K264" i="4" s="1"/>
  <c r="J261" i="4"/>
  <c r="J260" i="4"/>
  <c r="K260" i="4" s="1"/>
  <c r="J258" i="4"/>
  <c r="K258" i="4" s="1"/>
  <c r="J257" i="4"/>
  <c r="K257" i="4" s="1"/>
  <c r="J255" i="4"/>
  <c r="K255" i="4" s="1"/>
  <c r="J254" i="4"/>
  <c r="K254" i="4" s="1"/>
  <c r="J253" i="4"/>
  <c r="K253" i="4" s="1"/>
  <c r="J250" i="4"/>
  <c r="J239" i="4"/>
  <c r="J238" i="4"/>
  <c r="K238" i="4" s="1"/>
  <c r="J236" i="4"/>
  <c r="K236" i="4" s="1"/>
  <c r="J235" i="4"/>
  <c r="K235" i="4" s="1"/>
  <c r="J233" i="4"/>
  <c r="K233" i="4" s="1"/>
  <c r="J232" i="4"/>
  <c r="K232" i="4" s="1"/>
  <c r="J231" i="4"/>
  <c r="K231" i="4" s="1"/>
  <c r="J228" i="4"/>
  <c r="J215" i="4"/>
  <c r="J214" i="4"/>
  <c r="J212" i="4"/>
  <c r="K212" i="4" s="1"/>
  <c r="J211" i="4"/>
  <c r="K211" i="4" s="1"/>
  <c r="J209" i="4"/>
  <c r="K209" i="4" s="1"/>
  <c r="J208" i="4"/>
  <c r="K208" i="4" s="1"/>
  <c r="J207" i="4"/>
  <c r="K207" i="4" s="1"/>
  <c r="J204" i="4"/>
  <c r="J203" i="4"/>
  <c r="K203" i="4" s="1"/>
  <c r="J202" i="4"/>
  <c r="K202" i="4" s="1"/>
  <c r="J200" i="4"/>
  <c r="K200" i="4" s="1"/>
  <c r="J199" i="4"/>
  <c r="K199" i="4" s="1"/>
  <c r="J198" i="4"/>
  <c r="K198" i="4" s="1"/>
  <c r="J197" i="4"/>
  <c r="K197" i="4" s="1"/>
  <c r="J194" i="4"/>
  <c r="J193" i="4"/>
  <c r="K193" i="4" s="1"/>
  <c r="J191" i="4"/>
  <c r="K191" i="4" s="1"/>
  <c r="J190" i="4"/>
  <c r="K190" i="4" s="1"/>
  <c r="J189" i="4"/>
  <c r="K189" i="4" s="1"/>
  <c r="J188" i="4"/>
  <c r="K188" i="4" s="1"/>
  <c r="J185" i="4"/>
  <c r="J182" i="4"/>
  <c r="K182" i="4" s="1"/>
  <c r="J181" i="4"/>
  <c r="K181" i="4" s="1"/>
  <c r="J176" i="4"/>
  <c r="J173" i="4"/>
  <c r="K173" i="4" s="1"/>
  <c r="J170" i="4"/>
  <c r="K170" i="4" s="1"/>
  <c r="J165" i="4"/>
  <c r="J164" i="4"/>
  <c r="K164" i="4" s="1"/>
  <c r="J163" i="4"/>
  <c r="K163" i="4" s="1"/>
  <c r="J162" i="4"/>
  <c r="K162" i="4" s="1"/>
  <c r="J159" i="4"/>
  <c r="J158" i="4"/>
  <c r="K158" i="4" s="1"/>
  <c r="J157" i="4"/>
  <c r="K157" i="4" s="1"/>
  <c r="J155" i="4"/>
  <c r="K155" i="4" s="1"/>
  <c r="J154" i="4"/>
  <c r="K154" i="4" s="1"/>
  <c r="J153" i="4"/>
  <c r="K153" i="4" s="1"/>
  <c r="J150" i="4"/>
  <c r="J149" i="4"/>
  <c r="K149" i="4" s="1"/>
  <c r="J147" i="4"/>
  <c r="K147" i="4" s="1"/>
  <c r="J146" i="4"/>
  <c r="K146" i="4" s="1"/>
  <c r="J144" i="4"/>
  <c r="J143" i="4"/>
  <c r="K143" i="4" s="1"/>
  <c r="J142" i="4"/>
  <c r="K142" i="4" s="1"/>
  <c r="J139" i="4"/>
  <c r="J136" i="4"/>
  <c r="K136" i="4" s="1"/>
  <c r="J135" i="4"/>
  <c r="K135" i="4" s="1"/>
  <c r="J133" i="4"/>
  <c r="J131" i="4"/>
  <c r="K131" i="4" s="1"/>
  <c r="J128" i="4"/>
  <c r="J126" i="4"/>
  <c r="J125" i="4"/>
  <c r="K125" i="4" s="1"/>
  <c r="J121" i="4"/>
  <c r="K121" i="4" s="1"/>
  <c r="J118" i="4"/>
  <c r="J117" i="4"/>
  <c r="K117" i="4" s="1"/>
  <c r="J116" i="4"/>
  <c r="K116" i="4" s="1"/>
  <c r="J113" i="4"/>
  <c r="K113" i="4" s="1"/>
  <c r="J111" i="4"/>
  <c r="K111" i="4" s="1"/>
  <c r="J110" i="4"/>
  <c r="K110" i="4" s="1"/>
  <c r="J109" i="4"/>
  <c r="K109" i="4" s="1"/>
  <c r="J108" i="4"/>
  <c r="K108" i="4" s="1"/>
  <c r="J105" i="4"/>
  <c r="J104" i="4"/>
  <c r="K104" i="4" s="1"/>
  <c r="J101" i="4"/>
  <c r="K101" i="4" s="1"/>
  <c r="J100" i="4"/>
  <c r="K100" i="4" s="1"/>
  <c r="J97" i="4"/>
  <c r="J96" i="4"/>
  <c r="K96" i="4" s="1"/>
  <c r="J80" i="4"/>
  <c r="J79" i="4"/>
  <c r="K79" i="4" s="1"/>
  <c r="J78" i="4"/>
  <c r="K78" i="4" s="1"/>
  <c r="J67" i="4"/>
  <c r="J66" i="4"/>
  <c r="K66" i="4" s="1"/>
  <c r="J65" i="4"/>
  <c r="K65" i="4" s="1"/>
  <c r="J62" i="4"/>
  <c r="K62" i="4" s="1"/>
  <c r="J60" i="4"/>
  <c r="K60" i="4" s="1"/>
  <c r="J56" i="4"/>
  <c r="J54" i="4"/>
  <c r="J53" i="4"/>
  <c r="K53" i="4" s="1"/>
  <c r="J52" i="4"/>
  <c r="K52" i="4" s="1"/>
  <c r="J49" i="4"/>
  <c r="J48" i="4"/>
  <c r="K48" i="4" s="1"/>
  <c r="J47" i="4"/>
  <c r="K47" i="4" s="1"/>
  <c r="J44" i="4"/>
  <c r="J37" i="4"/>
  <c r="J36" i="4"/>
  <c r="K36" i="4" s="1"/>
  <c r="J34" i="4"/>
  <c r="K34" i="4" s="1"/>
  <c r="J24" i="4"/>
  <c r="J22" i="4"/>
  <c r="J21" i="4"/>
  <c r="K21" i="4" s="1"/>
  <c r="J18" i="4"/>
  <c r="J17" i="4"/>
  <c r="K17" i="4" s="1"/>
  <c r="J14" i="4"/>
  <c r="J12" i="4"/>
  <c r="J11" i="4"/>
  <c r="K11" i="4" s="1"/>
  <c r="J9" i="4"/>
  <c r="J8" i="4"/>
  <c r="F96" i="7"/>
  <c r="F95" i="7"/>
  <c r="J87" i="7"/>
  <c r="K87" i="7" s="1"/>
  <c r="O663" i="17" l="1"/>
  <c r="P663" i="17" s="1"/>
  <c r="K1938" i="17"/>
  <c r="O1938" i="17" s="1"/>
  <c r="P1938" i="17" s="1"/>
  <c r="O75" i="17"/>
  <c r="P75" i="17" s="1"/>
  <c r="K1992" i="17"/>
  <c r="K2012" i="17" s="1"/>
  <c r="I74" i="17"/>
  <c r="K77" i="17"/>
  <c r="J750" i="4"/>
  <c r="K750" i="4" s="1"/>
  <c r="H750" i="4"/>
  <c r="I750" i="4" s="1"/>
  <c r="J751" i="4"/>
  <c r="K751" i="4" s="1"/>
  <c r="H751" i="4"/>
  <c r="I751" i="4" s="1"/>
  <c r="J387" i="4"/>
  <c r="K387" i="4" s="1"/>
  <c r="H387" i="4"/>
  <c r="I387" i="4" s="1"/>
  <c r="J754" i="4"/>
  <c r="K754" i="4" s="1"/>
  <c r="H754" i="4"/>
  <c r="I754" i="4" s="1"/>
  <c r="G749" i="4"/>
  <c r="G384" i="4"/>
  <c r="G752" i="4"/>
  <c r="O1992" i="17"/>
  <c r="P1992" i="17" s="1"/>
  <c r="E790" i="4"/>
  <c r="E49" i="12"/>
  <c r="E131" i="12" s="1"/>
  <c r="L50" i="36"/>
  <c r="M14" i="36"/>
  <c r="K12" i="36"/>
  <c r="I1852" i="17" l="1"/>
  <c r="I1860" i="17" s="1"/>
  <c r="I1857" i="17"/>
  <c r="I1855" i="17"/>
  <c r="J1850" i="17"/>
  <c r="J1855" i="17"/>
  <c r="L1903" i="17" s="1"/>
  <c r="I1858" i="17"/>
  <c r="I1963" i="17" s="1"/>
  <c r="I1856" i="17"/>
  <c r="J1852" i="17"/>
  <c r="J1860" i="17" s="1"/>
  <c r="J1857" i="17"/>
  <c r="J1856" i="17"/>
  <c r="J1858" i="17"/>
  <c r="I1853" i="17"/>
  <c r="J1849" i="17"/>
  <c r="J1987" i="17" s="1"/>
  <c r="J1854" i="17"/>
  <c r="I1849" i="17"/>
  <c r="I1987" i="17" s="1"/>
  <c r="I1854" i="17"/>
  <c r="I1850" i="17"/>
  <c r="J1853" i="17"/>
  <c r="J2013" i="17" s="1"/>
  <c r="K1868" i="17"/>
  <c r="K1871" i="17"/>
  <c r="L1873" i="17"/>
  <c r="L1899" i="17"/>
  <c r="L1879" i="17"/>
  <c r="L1875" i="17"/>
  <c r="K1867" i="17"/>
  <c r="L1877" i="17"/>
  <c r="K1878" i="17"/>
  <c r="L1867" i="17"/>
  <c r="L1914" i="17"/>
  <c r="L1902" i="17"/>
  <c r="K1863" i="17"/>
  <c r="L1910" i="17"/>
  <c r="L1878" i="17"/>
  <c r="L1874" i="17"/>
  <c r="K1875" i="17"/>
  <c r="L1901" i="17"/>
  <c r="L1876" i="17"/>
  <c r="L1865" i="17"/>
  <c r="L1917" i="17"/>
  <c r="K1854" i="17"/>
  <c r="O77" i="17"/>
  <c r="P77" i="17" s="1"/>
  <c r="K1933" i="17"/>
  <c r="K1953" i="17" s="1"/>
  <c r="K1962" i="17" s="1"/>
  <c r="K74" i="17"/>
  <c r="K1856" i="17" s="1"/>
  <c r="G379" i="4"/>
  <c r="G748" i="4"/>
  <c r="O2012" i="17"/>
  <c r="P2012" i="17" s="1"/>
  <c r="M54" i="36"/>
  <c r="M50" i="36"/>
  <c r="L47" i="36"/>
  <c r="M12" i="36"/>
  <c r="K6" i="36"/>
  <c r="O1933" i="17" l="1"/>
  <c r="P1933" i="17" s="1"/>
  <c r="J1902" i="17"/>
  <c r="I1870" i="17"/>
  <c r="I1898" i="17"/>
  <c r="J1873" i="17"/>
  <c r="J1874" i="17"/>
  <c r="J1912" i="17"/>
  <c r="J1872" i="17"/>
  <c r="J1867" i="17"/>
  <c r="J1900" i="17"/>
  <c r="I1874" i="17"/>
  <c r="I1872" i="17"/>
  <c r="I1913" i="17"/>
  <c r="I1910" i="17"/>
  <c r="I1903" i="17"/>
  <c r="I1915" i="17"/>
  <c r="I1900" i="17"/>
  <c r="I1866" i="17"/>
  <c r="I1879" i="17"/>
  <c r="I1876" i="17"/>
  <c r="I1917" i="17"/>
  <c r="I1907" i="17"/>
  <c r="I1880" i="17"/>
  <c r="I1908" i="17"/>
  <c r="I1902" i="17"/>
  <c r="J1881" i="17"/>
  <c r="J1866" i="17"/>
  <c r="J1909" i="17"/>
  <c r="K1877" i="17"/>
  <c r="I1859" i="17"/>
  <c r="I2013" i="17"/>
  <c r="O74" i="17"/>
  <c r="P74" i="17" s="1"/>
  <c r="K1852" i="17"/>
  <c r="K1860" i="17" s="1"/>
  <c r="L1869" i="17"/>
  <c r="L1904" i="17"/>
  <c r="I1864" i="17"/>
  <c r="K1884" i="17"/>
  <c r="K1873" i="17"/>
  <c r="J1871" i="17"/>
  <c r="J1865" i="17"/>
  <c r="I1899" i="17"/>
  <c r="L1863" i="17"/>
  <c r="K1880" i="17"/>
  <c r="I1867" i="17"/>
  <c r="J1859" i="17"/>
  <c r="J1963" i="17"/>
  <c r="K1879" i="17"/>
  <c r="L1880" i="17"/>
  <c r="L1915" i="17"/>
  <c r="I1877" i="17"/>
  <c r="I1863" i="17"/>
  <c r="J1862" i="17"/>
  <c r="J1899" i="17"/>
  <c r="I1911" i="17"/>
  <c r="I1914" i="17"/>
  <c r="L1913" i="17"/>
  <c r="J1915" i="17"/>
  <c r="K1872" i="17"/>
  <c r="L1858" i="17"/>
  <c r="I1862" i="17"/>
  <c r="L1900" i="17"/>
  <c r="J1869" i="17"/>
  <c r="J1870" i="17"/>
  <c r="I1871" i="17"/>
  <c r="K1865" i="17"/>
  <c r="L1868" i="17"/>
  <c r="K1881" i="17"/>
  <c r="K1857" i="17"/>
  <c r="L1856" i="17"/>
  <c r="I1912" i="17"/>
  <c r="I1904" i="17"/>
  <c r="I1875" i="17"/>
  <c r="J1901" i="17"/>
  <c r="J1884" i="17"/>
  <c r="J1898" i="17"/>
  <c r="I1916" i="17"/>
  <c r="L1898" i="17"/>
  <c r="L1850" i="17"/>
  <c r="J1878" i="17"/>
  <c r="J1917" i="17"/>
  <c r="L1908" i="17"/>
  <c r="K1876" i="17"/>
  <c r="I1869" i="17"/>
  <c r="J1910" i="17"/>
  <c r="L1884" i="17"/>
  <c r="I1878" i="17"/>
  <c r="K1869" i="17"/>
  <c r="L1909" i="17"/>
  <c r="I1905" i="17"/>
  <c r="K1855" i="17"/>
  <c r="K1853" i="17"/>
  <c r="J1913" i="17"/>
  <c r="J1906" i="17"/>
  <c r="L1906" i="17"/>
  <c r="J1911" i="17"/>
  <c r="I1884" i="17"/>
  <c r="K1864" i="17"/>
  <c r="J1876" i="17"/>
  <c r="J1914" i="17"/>
  <c r="J1863" i="17"/>
  <c r="L1853" i="17"/>
  <c r="J1903" i="17"/>
  <c r="I1906" i="17"/>
  <c r="L1916" i="17"/>
  <c r="I1868" i="17"/>
  <c r="I1873" i="17"/>
  <c r="J1875" i="17"/>
  <c r="J1904" i="17"/>
  <c r="J1864" i="17"/>
  <c r="L1870" i="17"/>
  <c r="L1872" i="17"/>
  <c r="L1862" i="17"/>
  <c r="K1858" i="17"/>
  <c r="K1963" i="17" s="1"/>
  <c r="K1850" i="17"/>
  <c r="L1857" i="17"/>
  <c r="K1870" i="17"/>
  <c r="L1905" i="17"/>
  <c r="I1909" i="17"/>
  <c r="I1865" i="17"/>
  <c r="L1864" i="17"/>
  <c r="I1881" i="17"/>
  <c r="I1901" i="17"/>
  <c r="L1912" i="17"/>
  <c r="J1880" i="17"/>
  <c r="J1877" i="17"/>
  <c r="J1879" i="17"/>
  <c r="K1910" i="17"/>
  <c r="L1866" i="17"/>
  <c r="L1854" i="17"/>
  <c r="L1855" i="17"/>
  <c r="J1916" i="17"/>
  <c r="K1866" i="17"/>
  <c r="J1908" i="17"/>
  <c r="J1905" i="17"/>
  <c r="K1874" i="17"/>
  <c r="J1907" i="17"/>
  <c r="L1881" i="17"/>
  <c r="L1849" i="17"/>
  <c r="K1862" i="17"/>
  <c r="J1868" i="17"/>
  <c r="L1871" i="17"/>
  <c r="L1911" i="17"/>
  <c r="L1907" i="17"/>
  <c r="L1852" i="17"/>
  <c r="K1849" i="17"/>
  <c r="G746" i="4"/>
  <c r="G800" i="4"/>
  <c r="M47" i="36"/>
  <c r="K45" i="36"/>
  <c r="M6" i="36"/>
  <c r="L1860" i="17" l="1"/>
  <c r="O1860" i="17" s="1"/>
  <c r="L1963" i="17"/>
  <c r="L1987" i="17"/>
  <c r="M1987" i="17" s="1"/>
  <c r="I1918" i="17"/>
  <c r="I1928" i="17" s="1"/>
  <c r="I1929" i="17" s="1"/>
  <c r="K1987" i="17"/>
  <c r="K1915" i="17"/>
  <c r="O1915" i="17" s="1"/>
  <c r="P1915" i="17" s="1"/>
  <c r="K1904" i="17"/>
  <c r="O1904" i="17" s="1"/>
  <c r="P1904" i="17" s="1"/>
  <c r="K1907" i="17"/>
  <c r="O1907" i="17" s="1"/>
  <c r="P1907" i="17" s="1"/>
  <c r="K1906" i="17"/>
  <c r="O1906" i="17" s="1"/>
  <c r="P1906" i="17" s="1"/>
  <c r="K1902" i="17"/>
  <c r="O1902" i="17" s="1"/>
  <c r="P1902" i="17" s="1"/>
  <c r="K1903" i="17"/>
  <c r="O1903" i="17" s="1"/>
  <c r="P1903" i="17" s="1"/>
  <c r="K1911" i="17"/>
  <c r="O1911" i="17" s="1"/>
  <c r="P1911" i="17" s="1"/>
  <c r="K1908" i="17"/>
  <c r="O1908" i="17" s="1"/>
  <c r="P1908" i="17" s="1"/>
  <c r="K1901" i="17"/>
  <c r="O1901" i="17" s="1"/>
  <c r="P1901" i="17" s="1"/>
  <c r="K1913" i="17"/>
  <c r="O1913" i="17" s="1"/>
  <c r="P1913" i="17" s="1"/>
  <c r="K1912" i="17"/>
  <c r="O1912" i="17" s="1"/>
  <c r="P1912" i="17" s="1"/>
  <c r="K1905" i="17"/>
  <c r="O1905" i="17" s="1"/>
  <c r="P1905" i="17" s="1"/>
  <c r="L1918" i="17"/>
  <c r="L1928" i="17" s="1"/>
  <c r="L1929" i="17" s="1"/>
  <c r="K1914" i="17"/>
  <c r="O1914" i="17" s="1"/>
  <c r="P1914" i="17" s="1"/>
  <c r="K1898" i="17"/>
  <c r="O1898" i="17" s="1"/>
  <c r="P1898" i="17" s="1"/>
  <c r="K1909" i="17"/>
  <c r="O1909" i="17" s="1"/>
  <c r="P1909" i="17" s="1"/>
  <c r="J1918" i="17"/>
  <c r="J1928" i="17" s="1"/>
  <c r="J1929" i="17" s="1"/>
  <c r="J1882" i="17"/>
  <c r="J1891" i="17" s="1"/>
  <c r="J1893" i="17" s="1"/>
  <c r="J1894" i="17" s="1"/>
  <c r="K1900" i="17"/>
  <c r="O1900" i="17" s="1"/>
  <c r="P1900" i="17" s="1"/>
  <c r="K1916" i="17"/>
  <c r="K1917" i="17"/>
  <c r="O1917" i="17" s="1"/>
  <c r="P1917" i="17" s="1"/>
  <c r="K1882" i="17"/>
  <c r="K1891" i="17" s="1"/>
  <c r="K1893" i="17" s="1"/>
  <c r="K1894" i="17" s="1"/>
  <c r="I1882" i="17"/>
  <c r="I1891" i="17" s="1"/>
  <c r="I1893" i="17" s="1"/>
  <c r="I1894" i="17" s="1"/>
  <c r="L1882" i="17"/>
  <c r="L1891" i="17" s="1"/>
  <c r="L1893" i="17" s="1"/>
  <c r="L1894" i="17" s="1"/>
  <c r="L1859" i="17"/>
  <c r="M1859" i="17" s="1"/>
  <c r="L2013" i="17"/>
  <c r="K1859" i="17"/>
  <c r="K2013" i="17"/>
  <c r="K1899" i="17"/>
  <c r="O1899" i="17" s="1"/>
  <c r="P1899" i="17" s="1"/>
  <c r="M1869" i="17"/>
  <c r="N1869" i="17" s="1"/>
  <c r="M1880" i="17"/>
  <c r="M1911" i="17"/>
  <c r="N1911" i="17" s="1"/>
  <c r="M1901" i="17"/>
  <c r="N1901" i="17" s="1"/>
  <c r="M1872" i="17"/>
  <c r="N1872" i="17" s="1"/>
  <c r="M1865" i="17"/>
  <c r="N1865" i="17" s="1"/>
  <c r="M1878" i="17"/>
  <c r="N1878" i="17" s="1"/>
  <c r="M1908" i="17"/>
  <c r="N1908" i="17" s="1"/>
  <c r="O1880" i="17"/>
  <c r="O1863" i="17"/>
  <c r="P1863" i="17" s="1"/>
  <c r="O1875" i="17"/>
  <c r="P1875" i="17" s="1"/>
  <c r="M1877" i="17"/>
  <c r="N1877" i="17" s="1"/>
  <c r="M1902" i="17"/>
  <c r="N1902" i="17" s="1"/>
  <c r="M1904" i="17"/>
  <c r="N1904" i="17" s="1"/>
  <c r="M1899" i="17"/>
  <c r="N1899" i="17" s="1"/>
  <c r="O1884" i="17"/>
  <c r="P1884" i="17" s="1"/>
  <c r="M1907" i="17"/>
  <c r="N1907" i="17" s="1"/>
  <c r="M1874" i="17"/>
  <c r="N1874" i="17" s="1"/>
  <c r="M1913" i="17"/>
  <c r="N1913" i="17" s="1"/>
  <c r="O1910" i="17"/>
  <c r="P1910" i="17" s="1"/>
  <c r="O1872" i="17"/>
  <c r="P1872" i="17" s="1"/>
  <c r="O1871" i="17"/>
  <c r="M1881" i="17"/>
  <c r="N1881" i="17" s="1"/>
  <c r="M1905" i="17"/>
  <c r="N1905" i="17" s="1"/>
  <c r="M1900" i="17"/>
  <c r="N1900" i="17" s="1"/>
  <c r="M1871" i="17"/>
  <c r="O1865" i="17"/>
  <c r="P1865" i="17" s="1"/>
  <c r="O1864" i="17"/>
  <c r="P1864" i="17" s="1"/>
  <c r="O1881" i="17"/>
  <c r="P1881" i="17" s="1"/>
  <c r="M1914" i="17"/>
  <c r="N1914" i="17" s="1"/>
  <c r="O1876" i="17"/>
  <c r="P1876" i="17" s="1"/>
  <c r="O1869" i="17"/>
  <c r="P1869" i="17" s="1"/>
  <c r="O1877" i="17"/>
  <c r="P1877" i="17" s="1"/>
  <c r="O1867" i="17"/>
  <c r="P1867" i="17" s="1"/>
  <c r="O1878" i="17"/>
  <c r="P1878" i="17" s="1"/>
  <c r="M1884" i="17"/>
  <c r="N1884" i="17" s="1"/>
  <c r="O1874" i="17"/>
  <c r="P1874" i="17" s="1"/>
  <c r="O1868" i="17"/>
  <c r="P1868" i="17" s="1"/>
  <c r="O1962" i="17"/>
  <c r="P1962" i="17" s="1"/>
  <c r="O1953" i="17"/>
  <c r="P1953" i="17" s="1"/>
  <c r="G812" i="4"/>
  <c r="K53" i="36"/>
  <c r="M1860" i="17" l="1"/>
  <c r="O1859" i="17"/>
  <c r="K1918" i="17"/>
  <c r="K1928" i="17" s="1"/>
  <c r="K1929" i="17" s="1"/>
  <c r="M1882" i="17"/>
  <c r="N1882" i="17" s="1"/>
  <c r="M1879" i="17"/>
  <c r="N1879" i="17" s="1"/>
  <c r="M1870" i="17"/>
  <c r="N1870" i="17" s="1"/>
  <c r="M1862" i="17"/>
  <c r="N1862" i="17" s="1"/>
  <c r="O1862" i="17"/>
  <c r="P1862" i="17" s="1"/>
  <c r="M1873" i="17"/>
  <c r="N1873" i="17" s="1"/>
  <c r="O1879" i="17"/>
  <c r="P1879" i="17" s="1"/>
  <c r="O1873" i="17"/>
  <c r="P1873" i="17" s="1"/>
  <c r="M1903" i="17"/>
  <c r="N1903" i="17" s="1"/>
  <c r="M1916" i="17"/>
  <c r="N1916" i="17" s="1"/>
  <c r="M1866" i="17"/>
  <c r="N1866" i="17" s="1"/>
  <c r="M1867" i="17"/>
  <c r="N1867" i="17" s="1"/>
  <c r="M1876" i="17"/>
  <c r="N1876" i="17" s="1"/>
  <c r="M1912" i="17"/>
  <c r="N1912" i="17" s="1"/>
  <c r="M1906" i="17"/>
  <c r="N1906" i="17" s="1"/>
  <c r="O1866" i="17"/>
  <c r="P1866" i="17" s="1"/>
  <c r="M1863" i="17"/>
  <c r="N1863" i="17" s="1"/>
  <c r="O1916" i="17"/>
  <c r="P1916" i="17" s="1"/>
  <c r="M1909" i="17"/>
  <c r="N1909" i="17" s="1"/>
  <c r="O1882" i="17"/>
  <c r="P1882" i="17" s="1"/>
  <c r="M1915" i="17"/>
  <c r="N1915" i="17" s="1"/>
  <c r="M1864" i="17"/>
  <c r="N1864" i="17" s="1"/>
  <c r="M1917" i="17"/>
  <c r="N1917" i="17" s="1"/>
  <c r="M1875" i="17"/>
  <c r="N1875" i="17" s="1"/>
  <c r="M1898" i="17"/>
  <c r="N1898" i="17" s="1"/>
  <c r="M1868" i="17"/>
  <c r="N1868" i="17" s="1"/>
  <c r="M1910" i="17"/>
  <c r="N1910" i="17" s="1"/>
  <c r="O1870" i="17"/>
  <c r="P1870" i="17" s="1"/>
  <c r="M1928" i="17" l="1"/>
  <c r="N1928" i="17" s="1"/>
  <c r="M1963" i="17"/>
  <c r="M1918" i="17"/>
  <c r="N1918" i="17" s="1"/>
  <c r="O1918" i="17"/>
  <c r="P1918" i="17" s="1"/>
  <c r="O1928" i="17"/>
  <c r="P1928" i="17" s="1"/>
  <c r="O1963" i="17"/>
  <c r="M1891" i="17" l="1"/>
  <c r="N1891" i="17" s="1"/>
  <c r="O1893" i="17"/>
  <c r="P1893" i="17" s="1"/>
  <c r="M1893" i="17"/>
  <c r="N1893" i="17" s="1"/>
  <c r="O1891" i="17"/>
  <c r="P1891" i="17" s="1"/>
  <c r="M1929" i="17"/>
  <c r="O1929" i="17"/>
  <c r="M1894" i="17" l="1"/>
  <c r="O1894" i="17"/>
  <c r="G83" i="12" l="1"/>
  <c r="J91" i="12"/>
  <c r="G38" i="7" l="1"/>
  <c r="H38" i="7" s="1"/>
  <c r="I38" i="7" s="1"/>
  <c r="Q51" i="36" l="1"/>
  <c r="Q7" i="36"/>
  <c r="Q11" i="36"/>
  <c r="Q16" i="36"/>
  <c r="Q18" i="36"/>
  <c r="Q24" i="36"/>
  <c r="Q28" i="36"/>
  <c r="Q32" i="36"/>
  <c r="Q38" i="36"/>
  <c r="Q42" i="36"/>
  <c r="Q44" i="36"/>
  <c r="Q46" i="36"/>
  <c r="Q52" i="36"/>
  <c r="G84" i="7"/>
  <c r="O37" i="36"/>
  <c r="O36" i="36"/>
  <c r="O31" i="36"/>
  <c r="O30" i="36"/>
  <c r="J60" i="36"/>
  <c r="J59" i="36"/>
  <c r="J58" i="36"/>
  <c r="J57" i="36"/>
  <c r="J52" i="36"/>
  <c r="G52" i="36"/>
  <c r="D52" i="36"/>
  <c r="N52" i="36" s="1"/>
  <c r="J51" i="36"/>
  <c r="G51" i="36"/>
  <c r="G50" i="36"/>
  <c r="J49" i="36"/>
  <c r="G49" i="36"/>
  <c r="D49" i="36"/>
  <c r="G48" i="36"/>
  <c r="G47" i="36"/>
  <c r="J46" i="36"/>
  <c r="G46" i="36"/>
  <c r="D46" i="36"/>
  <c r="F45" i="36"/>
  <c r="F53" i="36" s="1"/>
  <c r="J44" i="36"/>
  <c r="G44" i="36"/>
  <c r="D44" i="36"/>
  <c r="J43" i="36"/>
  <c r="G43" i="36"/>
  <c r="D43" i="36"/>
  <c r="J42" i="36"/>
  <c r="G42" i="36"/>
  <c r="D42" i="36"/>
  <c r="J41" i="36"/>
  <c r="G41" i="36"/>
  <c r="D41" i="36"/>
  <c r="G40" i="36"/>
  <c r="G39" i="36"/>
  <c r="J38" i="36"/>
  <c r="G38" i="36"/>
  <c r="D38" i="36"/>
  <c r="J37" i="36"/>
  <c r="G37" i="36"/>
  <c r="D37" i="36"/>
  <c r="J36" i="36"/>
  <c r="G36" i="36"/>
  <c r="D36" i="36"/>
  <c r="G35" i="36"/>
  <c r="G34" i="36"/>
  <c r="G33" i="36"/>
  <c r="J32" i="36"/>
  <c r="G32" i="36"/>
  <c r="D32" i="36"/>
  <c r="J31" i="36"/>
  <c r="G31" i="36"/>
  <c r="D31" i="36"/>
  <c r="G30" i="36"/>
  <c r="G29" i="36"/>
  <c r="J28" i="36"/>
  <c r="G28" i="36"/>
  <c r="D28" i="36"/>
  <c r="G27" i="36"/>
  <c r="G26" i="36"/>
  <c r="G25" i="36"/>
  <c r="J24" i="36"/>
  <c r="G24" i="36"/>
  <c r="D24" i="36"/>
  <c r="N24" i="36" s="1"/>
  <c r="G23" i="36"/>
  <c r="G22" i="36"/>
  <c r="B19" i="36"/>
  <c r="G21" i="36"/>
  <c r="G20" i="36"/>
  <c r="G19" i="36"/>
  <c r="J18" i="36"/>
  <c r="G18" i="36"/>
  <c r="D18" i="36"/>
  <c r="J17" i="36"/>
  <c r="G17" i="36"/>
  <c r="D17" i="36"/>
  <c r="J16" i="36"/>
  <c r="G16" i="36"/>
  <c r="D16" i="36"/>
  <c r="J15" i="36"/>
  <c r="D15" i="36"/>
  <c r="J14" i="36"/>
  <c r="D14" i="36"/>
  <c r="J13" i="36"/>
  <c r="G12" i="36"/>
  <c r="J11" i="36"/>
  <c r="G11" i="36"/>
  <c r="D11" i="36"/>
  <c r="J10" i="36"/>
  <c r="G10" i="36"/>
  <c r="D10" i="36"/>
  <c r="J7" i="36"/>
  <c r="G7" i="36"/>
  <c r="D7" i="36"/>
  <c r="N43" i="36" l="1"/>
  <c r="R32" i="36"/>
  <c r="N49" i="36"/>
  <c r="R28" i="36"/>
  <c r="N18" i="36"/>
  <c r="T18" i="36" s="1"/>
  <c r="N16" i="36"/>
  <c r="T16" i="36" s="1"/>
  <c r="N46" i="36"/>
  <c r="T46" i="36" s="1"/>
  <c r="N15" i="36"/>
  <c r="N44" i="36"/>
  <c r="T44" i="36" s="1"/>
  <c r="N32" i="36"/>
  <c r="T32" i="36" s="1"/>
  <c r="R38" i="36"/>
  <c r="R24" i="36"/>
  <c r="R18" i="36"/>
  <c r="N31" i="36"/>
  <c r="R16" i="36"/>
  <c r="R11" i="36"/>
  <c r="R7" i="36"/>
  <c r="R52" i="36"/>
  <c r="R46" i="36"/>
  <c r="R44" i="36"/>
  <c r="R42" i="36"/>
  <c r="N38" i="36"/>
  <c r="T38" i="36" s="1"/>
  <c r="Q30" i="36"/>
  <c r="Q31" i="36"/>
  <c r="R31" i="36" s="1"/>
  <c r="S31" i="36" s="1"/>
  <c r="Q36" i="36"/>
  <c r="R36" i="36" s="1"/>
  <c r="S36" i="36" s="1"/>
  <c r="N36" i="36"/>
  <c r="Q37" i="36"/>
  <c r="R37" i="36" s="1"/>
  <c r="S37" i="36" s="1"/>
  <c r="N11" i="36"/>
  <c r="T11" i="36" s="1"/>
  <c r="N7" i="36"/>
  <c r="T7" i="36" s="1"/>
  <c r="N28" i="36"/>
  <c r="T28" i="36" s="1"/>
  <c r="N42" i="36"/>
  <c r="T42" i="36" s="1"/>
  <c r="N10" i="36"/>
  <c r="N37" i="36"/>
  <c r="N41" i="36"/>
  <c r="N14" i="36"/>
  <c r="N17" i="36"/>
  <c r="O40" i="36"/>
  <c r="T52" i="36"/>
  <c r="O29" i="36"/>
  <c r="D50" i="36"/>
  <c r="H39" i="36"/>
  <c r="J39" i="36" s="1"/>
  <c r="H47" i="36"/>
  <c r="B25" i="36"/>
  <c r="H29" i="36"/>
  <c r="J29" i="36" s="1"/>
  <c r="B39" i="36"/>
  <c r="D39" i="36" s="1"/>
  <c r="I47" i="36"/>
  <c r="H8" i="36"/>
  <c r="J8" i="36" s="1"/>
  <c r="B29" i="36"/>
  <c r="D29" i="36" s="1"/>
  <c r="D48" i="36"/>
  <c r="J50" i="36"/>
  <c r="T24" i="36"/>
  <c r="E8" i="36"/>
  <c r="D26" i="36"/>
  <c r="B33" i="36"/>
  <c r="D30" i="36"/>
  <c r="D34" i="36"/>
  <c r="C47" i="36"/>
  <c r="D40" i="36"/>
  <c r="J48" i="36"/>
  <c r="D51" i="36"/>
  <c r="R51" i="36" s="1"/>
  <c r="S51" i="36" s="1"/>
  <c r="H33" i="36"/>
  <c r="H25" i="36"/>
  <c r="B8" i="36"/>
  <c r="D8" i="36" s="1"/>
  <c r="H12" i="36"/>
  <c r="J12" i="36" s="1"/>
  <c r="J9" i="36"/>
  <c r="B47" i="36"/>
  <c r="B12" i="36"/>
  <c r="D12" i="36" s="1"/>
  <c r="H19" i="36"/>
  <c r="J26" i="36"/>
  <c r="J30" i="36"/>
  <c r="J34" i="36"/>
  <c r="J40" i="36"/>
  <c r="D13" i="36"/>
  <c r="N13" i="36" s="1"/>
  <c r="D9" i="36"/>
  <c r="T36" i="36" l="1"/>
  <c r="U36" i="36" s="1"/>
  <c r="T31" i="36"/>
  <c r="U31" i="36" s="1"/>
  <c r="R30" i="36"/>
  <c r="S30" i="36" s="1"/>
  <c r="T37" i="36"/>
  <c r="U37" i="36" s="1"/>
  <c r="Q29" i="36"/>
  <c r="R29" i="36" s="1"/>
  <c r="S29" i="36" s="1"/>
  <c r="Q40" i="36"/>
  <c r="R40" i="36" s="1"/>
  <c r="S40" i="36" s="1"/>
  <c r="N48" i="36"/>
  <c r="N30" i="36"/>
  <c r="T30" i="36" s="1"/>
  <c r="U30" i="36" s="1"/>
  <c r="N34" i="36"/>
  <c r="N29" i="36"/>
  <c r="T29" i="36" s="1"/>
  <c r="U29" i="36" s="1"/>
  <c r="N50" i="36"/>
  <c r="N9" i="36"/>
  <c r="N26" i="36"/>
  <c r="N51" i="36"/>
  <c r="T51" i="36" s="1"/>
  <c r="U51" i="36" s="1"/>
  <c r="N12" i="36"/>
  <c r="N39" i="36"/>
  <c r="N40" i="36"/>
  <c r="J47" i="36"/>
  <c r="G8" i="36"/>
  <c r="N8" i="36" s="1"/>
  <c r="E6" i="36"/>
  <c r="B6" i="36"/>
  <c r="B45" i="36" s="1"/>
  <c r="D47" i="36"/>
  <c r="H6" i="36"/>
  <c r="J6" i="36" s="1"/>
  <c r="T40" i="36" l="1"/>
  <c r="U40" i="36" s="1"/>
  <c r="N47" i="36"/>
  <c r="D6" i="36"/>
  <c r="G6" i="36"/>
  <c r="G45" i="36" s="1"/>
  <c r="G53" i="36" s="1"/>
  <c r="E45" i="36"/>
  <c r="E53" i="36" s="1"/>
  <c r="H45" i="36"/>
  <c r="H53" i="36" s="1"/>
  <c r="B53" i="36"/>
  <c r="N6" i="36" l="1"/>
  <c r="G43" i="12" l="1"/>
  <c r="G41" i="12" l="1"/>
  <c r="P49" i="36"/>
  <c r="Q49" i="36" s="1"/>
  <c r="G40" i="12"/>
  <c r="T49" i="36" l="1"/>
  <c r="U49" i="36" s="1"/>
  <c r="R49" i="36"/>
  <c r="S49" i="36" s="1"/>
  <c r="J70" i="12" l="1"/>
  <c r="J69" i="12"/>
  <c r="J68" i="12"/>
  <c r="J26" i="12"/>
  <c r="G63" i="7" l="1"/>
  <c r="G86" i="7"/>
  <c r="G7" i="7"/>
  <c r="G62" i="7" l="1"/>
  <c r="O9" i="36"/>
  <c r="O41" i="36"/>
  <c r="G83" i="7"/>
  <c r="Q41" i="36" l="1"/>
  <c r="Q9" i="36"/>
  <c r="O39" i="36"/>
  <c r="T9" i="36" l="1"/>
  <c r="U9" i="36" s="1"/>
  <c r="R9" i="36"/>
  <c r="S9" i="36" s="1"/>
  <c r="T41" i="36"/>
  <c r="U41" i="36" s="1"/>
  <c r="R41" i="36"/>
  <c r="S41" i="36" s="1"/>
  <c r="Q39" i="36"/>
  <c r="T39" i="36" l="1"/>
  <c r="U39" i="36" s="1"/>
  <c r="R39" i="36"/>
  <c r="S39" i="36" s="1"/>
  <c r="G68" i="7" l="1"/>
  <c r="G32" i="7"/>
  <c r="G30" i="7"/>
  <c r="O34" i="36" l="1"/>
  <c r="G29" i="7"/>
  <c r="Q34" i="36" l="1"/>
  <c r="O22" i="36"/>
  <c r="T34" i="36" l="1"/>
  <c r="U34" i="36" s="1"/>
  <c r="R34" i="36"/>
  <c r="S34" i="36" s="1"/>
  <c r="O19" i="36"/>
  <c r="G43" i="7" l="1"/>
  <c r="G37" i="7"/>
  <c r="G23" i="7"/>
  <c r="G20" i="7"/>
  <c r="K19" i="7"/>
  <c r="J19" i="7"/>
  <c r="G17" i="7"/>
  <c r="G42" i="7" l="1"/>
  <c r="O17" i="36"/>
  <c r="O15" i="36"/>
  <c r="G35" i="7"/>
  <c r="O27" i="36"/>
  <c r="O26" i="36"/>
  <c r="O14" i="36"/>
  <c r="Q15" i="36" l="1"/>
  <c r="Q17" i="36"/>
  <c r="O25" i="36"/>
  <c r="Q26" i="36"/>
  <c r="Q14" i="36"/>
  <c r="T14" i="36" l="1"/>
  <c r="U14" i="36" s="1"/>
  <c r="R14" i="36"/>
  <c r="S14" i="36" s="1"/>
  <c r="T17" i="36"/>
  <c r="U17" i="36" s="1"/>
  <c r="R17" i="36"/>
  <c r="S17" i="36" s="1"/>
  <c r="T26" i="36"/>
  <c r="U26" i="36" s="1"/>
  <c r="R26" i="36"/>
  <c r="S26" i="36" s="1"/>
  <c r="T15" i="36"/>
  <c r="U15" i="36" s="1"/>
  <c r="R15" i="36"/>
  <c r="S15" i="36" s="1"/>
  <c r="G14" i="7" l="1"/>
  <c r="G91" i="7" l="1"/>
  <c r="O13" i="36"/>
  <c r="G13" i="7"/>
  <c r="J92" i="7"/>
  <c r="K92" i="7" s="1"/>
  <c r="O43" i="36" l="1"/>
  <c r="Q13" i="36"/>
  <c r="O12" i="36"/>
  <c r="T13" i="36" l="1"/>
  <c r="U13" i="36" s="1"/>
  <c r="R13" i="36"/>
  <c r="S13" i="36" s="1"/>
  <c r="Q12" i="36"/>
  <c r="Q43" i="36"/>
  <c r="T43" i="36" l="1"/>
  <c r="U43" i="36" s="1"/>
  <c r="R43" i="36"/>
  <c r="S43" i="36" s="1"/>
  <c r="T12" i="36"/>
  <c r="U12" i="36" s="1"/>
  <c r="R12" i="36"/>
  <c r="S12" i="36" s="1"/>
  <c r="G30" i="12" l="1"/>
  <c r="H30" i="12" s="1"/>
  <c r="I30" i="12" s="1"/>
  <c r="G78" i="7" l="1"/>
  <c r="G74" i="7"/>
  <c r="K71" i="7"/>
  <c r="J71" i="7"/>
  <c r="K70" i="7"/>
  <c r="J70" i="7"/>
  <c r="K66" i="7"/>
  <c r="J66" i="7"/>
  <c r="G77" i="7" l="1"/>
  <c r="O35" i="36" l="1"/>
  <c r="G67" i="7"/>
  <c r="O33" i="36" l="1"/>
  <c r="D20" i="4" l="1"/>
  <c r="D15" i="4" l="1"/>
  <c r="D19" i="4"/>
  <c r="D13" i="4" l="1"/>
  <c r="K130" i="12"/>
  <c r="K128" i="12"/>
  <c r="K127" i="12"/>
  <c r="K126" i="12"/>
  <c r="K125" i="12"/>
  <c r="K124" i="12"/>
  <c r="K123" i="12"/>
  <c r="K122" i="12"/>
  <c r="K121" i="12"/>
  <c r="K109" i="12"/>
  <c r="K107" i="12"/>
  <c r="K106" i="12"/>
  <c r="K105" i="12"/>
  <c r="K104" i="12"/>
  <c r="K103" i="12"/>
  <c r="K102" i="12"/>
  <c r="K101" i="12"/>
  <c r="K99" i="12"/>
  <c r="K98" i="12"/>
  <c r="K97" i="12"/>
  <c r="K96" i="12"/>
  <c r="K92" i="12"/>
  <c r="K89" i="12"/>
  <c r="K88" i="12"/>
  <c r="K86" i="12"/>
  <c r="K85" i="12"/>
  <c r="K82" i="12"/>
  <c r="K77" i="12"/>
  <c r="K74" i="12"/>
  <c r="K73" i="12"/>
  <c r="K70" i="12"/>
  <c r="K53" i="12"/>
  <c r="K48" i="12"/>
  <c r="K47" i="12"/>
  <c r="K46" i="12"/>
  <c r="K45" i="12"/>
  <c r="K42" i="12"/>
  <c r="K39" i="12"/>
  <c r="K38" i="12"/>
  <c r="K37" i="12"/>
  <c r="K35" i="12"/>
  <c r="K34" i="12"/>
  <c r="K33" i="12"/>
  <c r="K32" i="12"/>
  <c r="K31" i="12"/>
  <c r="G113" i="12"/>
  <c r="G110" i="12"/>
  <c r="G93" i="12"/>
  <c r="G71" i="12"/>
  <c r="G27" i="12"/>
  <c r="G14" i="12"/>
  <c r="H9" i="12"/>
  <c r="I9" i="12" s="1"/>
  <c r="H8" i="12"/>
  <c r="I8" i="12" s="1"/>
  <c r="B803" i="4"/>
  <c r="H803" i="4" s="1"/>
  <c r="I803" i="4" s="1"/>
  <c r="B787" i="4"/>
  <c r="H787" i="4" s="1"/>
  <c r="I787" i="4" s="1"/>
  <c r="B784" i="4"/>
  <c r="H784" i="4" s="1"/>
  <c r="I784" i="4" s="1"/>
  <c r="B779" i="4"/>
  <c r="H779" i="4" s="1"/>
  <c r="I779" i="4" s="1"/>
  <c r="B776" i="4"/>
  <c r="H776" i="4" s="1"/>
  <c r="I776" i="4" s="1"/>
  <c r="B772" i="4"/>
  <c r="H772" i="4" s="1"/>
  <c r="I772" i="4" s="1"/>
  <c r="B769" i="4"/>
  <c r="H769" i="4" s="1"/>
  <c r="I769" i="4" s="1"/>
  <c r="B764" i="4"/>
  <c r="H764" i="4" s="1"/>
  <c r="I764" i="4" s="1"/>
  <c r="B759" i="4"/>
  <c r="H759" i="4" s="1"/>
  <c r="I759" i="4" s="1"/>
  <c r="B755" i="4"/>
  <c r="H755" i="4" s="1"/>
  <c r="I755" i="4" s="1"/>
  <c r="B752" i="4"/>
  <c r="H752" i="4" s="1"/>
  <c r="I752" i="4" s="1"/>
  <c r="B749" i="4"/>
  <c r="H749" i="4" s="1"/>
  <c r="I749" i="4" s="1"/>
  <c r="B740" i="4"/>
  <c r="H740" i="4" s="1"/>
  <c r="I740" i="4" s="1"/>
  <c r="B738" i="4"/>
  <c r="H738" i="4" s="1"/>
  <c r="I738" i="4" s="1"/>
  <c r="B732" i="4"/>
  <c r="H732" i="4" s="1"/>
  <c r="I732" i="4" s="1"/>
  <c r="B726" i="4"/>
  <c r="H726" i="4" s="1"/>
  <c r="I726" i="4" s="1"/>
  <c r="B724" i="4"/>
  <c r="H724" i="4" s="1"/>
  <c r="I724" i="4" s="1"/>
  <c r="B719" i="4"/>
  <c r="H719" i="4" s="1"/>
  <c r="I719" i="4" s="1"/>
  <c r="B712" i="4"/>
  <c r="H712" i="4" s="1"/>
  <c r="I712" i="4" s="1"/>
  <c r="B709" i="4"/>
  <c r="H709" i="4" s="1"/>
  <c r="I709" i="4" s="1"/>
  <c r="B705" i="4"/>
  <c r="H705" i="4" s="1"/>
  <c r="I705" i="4" s="1"/>
  <c r="B699" i="4"/>
  <c r="H699" i="4" s="1"/>
  <c r="I699" i="4" s="1"/>
  <c r="B695" i="4"/>
  <c r="H695" i="4" s="1"/>
  <c r="I695" i="4" s="1"/>
  <c r="B690" i="4"/>
  <c r="H690" i="4" s="1"/>
  <c r="I690" i="4" s="1"/>
  <c r="B685" i="4"/>
  <c r="H685" i="4" s="1"/>
  <c r="I685" i="4" s="1"/>
  <c r="B679" i="4"/>
  <c r="H679" i="4" s="1"/>
  <c r="I679" i="4" s="1"/>
  <c r="B677" i="4"/>
  <c r="H677" i="4" s="1"/>
  <c r="I677" i="4" s="1"/>
  <c r="B674" i="4"/>
  <c r="H674" i="4" s="1"/>
  <c r="I674" i="4" s="1"/>
  <c r="B671" i="4"/>
  <c r="H671" i="4" s="1"/>
  <c r="I671" i="4" s="1"/>
  <c r="B669" i="4"/>
  <c r="H669" i="4" s="1"/>
  <c r="I669" i="4" s="1"/>
  <c r="B667" i="4"/>
  <c r="H667" i="4" s="1"/>
  <c r="I667" i="4" s="1"/>
  <c r="B656" i="4"/>
  <c r="H656" i="4" s="1"/>
  <c r="I656" i="4" s="1"/>
  <c r="B649" i="4"/>
  <c r="H649" i="4" s="1"/>
  <c r="I649" i="4" s="1"/>
  <c r="B646" i="4"/>
  <c r="H646" i="4" s="1"/>
  <c r="I646" i="4" s="1"/>
  <c r="B640" i="4"/>
  <c r="H640" i="4" s="1"/>
  <c r="I640" i="4" s="1"/>
  <c r="B635" i="4"/>
  <c r="H635" i="4" s="1"/>
  <c r="I635" i="4" s="1"/>
  <c r="B632" i="4"/>
  <c r="H632" i="4" s="1"/>
  <c r="I632" i="4" s="1"/>
  <c r="B629" i="4"/>
  <c r="H629" i="4" s="1"/>
  <c r="I629" i="4" s="1"/>
  <c r="B626" i="4"/>
  <c r="H626" i="4" s="1"/>
  <c r="I626" i="4" s="1"/>
  <c r="B618" i="4"/>
  <c r="H618" i="4" s="1"/>
  <c r="I618" i="4" s="1"/>
  <c r="B614" i="4"/>
  <c r="H614" i="4" s="1"/>
  <c r="I614" i="4" s="1"/>
  <c r="B610" i="4"/>
  <c r="H610" i="4" s="1"/>
  <c r="I610" i="4" s="1"/>
  <c r="B607" i="4"/>
  <c r="H607" i="4" s="1"/>
  <c r="I607" i="4" s="1"/>
  <c r="B601" i="4"/>
  <c r="H601" i="4" s="1"/>
  <c r="I601" i="4" s="1"/>
  <c r="B595" i="4"/>
  <c r="H595" i="4" s="1"/>
  <c r="I595" i="4" s="1"/>
  <c r="B590" i="4"/>
  <c r="H590" i="4" s="1"/>
  <c r="I590" i="4" s="1"/>
  <c r="B586" i="4"/>
  <c r="H586" i="4" s="1"/>
  <c r="I586" i="4" s="1"/>
  <c r="B581" i="4"/>
  <c r="H581" i="4" s="1"/>
  <c r="I581" i="4" s="1"/>
  <c r="B579" i="4"/>
  <c r="H579" i="4" s="1"/>
  <c r="I579" i="4" s="1"/>
  <c r="B574" i="4"/>
  <c r="H574" i="4" s="1"/>
  <c r="I574" i="4" s="1"/>
  <c r="B570" i="4"/>
  <c r="H570" i="4" s="1"/>
  <c r="I570" i="4" s="1"/>
  <c r="B566" i="4"/>
  <c r="H566" i="4" s="1"/>
  <c r="I566" i="4" s="1"/>
  <c r="B563" i="4"/>
  <c r="H563" i="4" s="1"/>
  <c r="I563" i="4" s="1"/>
  <c r="B555" i="4"/>
  <c r="H555" i="4" s="1"/>
  <c r="I555" i="4" s="1"/>
  <c r="B552" i="4"/>
  <c r="H552" i="4" s="1"/>
  <c r="I552" i="4" s="1"/>
  <c r="B547" i="4"/>
  <c r="H547" i="4" s="1"/>
  <c r="I547" i="4" s="1"/>
  <c r="B544" i="4"/>
  <c r="H544" i="4" s="1"/>
  <c r="I544" i="4" s="1"/>
  <c r="B540" i="4"/>
  <c r="H540" i="4" s="1"/>
  <c r="I540" i="4" s="1"/>
  <c r="B537" i="4"/>
  <c r="H537" i="4" s="1"/>
  <c r="I537" i="4" s="1"/>
  <c r="B529" i="4"/>
  <c r="H529" i="4" s="1"/>
  <c r="I529" i="4" s="1"/>
  <c r="B524" i="4"/>
  <c r="H524" i="4" s="1"/>
  <c r="I524" i="4" s="1"/>
  <c r="B520" i="4"/>
  <c r="H520" i="4" s="1"/>
  <c r="I520" i="4" s="1"/>
  <c r="B517" i="4"/>
  <c r="H517" i="4" s="1"/>
  <c r="I517" i="4" s="1"/>
  <c r="B509" i="4"/>
  <c r="H509" i="4" s="1"/>
  <c r="I509" i="4" s="1"/>
  <c r="B504" i="4"/>
  <c r="H504" i="4" s="1"/>
  <c r="I504" i="4" s="1"/>
  <c r="B501" i="4"/>
  <c r="H501" i="4" s="1"/>
  <c r="I501" i="4" s="1"/>
  <c r="B497" i="4"/>
  <c r="H497" i="4" s="1"/>
  <c r="I497" i="4" s="1"/>
  <c r="B494" i="4"/>
  <c r="H494" i="4" s="1"/>
  <c r="I494" i="4" s="1"/>
  <c r="B484" i="4"/>
  <c r="H484" i="4" s="1"/>
  <c r="I484" i="4" s="1"/>
  <c r="B480" i="4"/>
  <c r="H480" i="4" s="1"/>
  <c r="I480" i="4" s="1"/>
  <c r="B478" i="4"/>
  <c r="H478" i="4" s="1"/>
  <c r="I478" i="4" s="1"/>
  <c r="B473" i="4"/>
  <c r="H473" i="4" s="1"/>
  <c r="I473" i="4" s="1"/>
  <c r="B470" i="4"/>
  <c r="H470" i="4" s="1"/>
  <c r="I470" i="4" s="1"/>
  <c r="B467" i="4"/>
  <c r="H467" i="4" s="1"/>
  <c r="I467" i="4" s="1"/>
  <c r="B464" i="4"/>
  <c r="H464" i="4" s="1"/>
  <c r="I464" i="4" s="1"/>
  <c r="B458" i="4"/>
  <c r="H458" i="4" s="1"/>
  <c r="I458" i="4" s="1"/>
  <c r="B455" i="4"/>
  <c r="H455" i="4" s="1"/>
  <c r="I455" i="4" s="1"/>
  <c r="B444" i="4"/>
  <c r="H444" i="4" s="1"/>
  <c r="I444" i="4" s="1"/>
  <c r="B441" i="4"/>
  <c r="H441" i="4" s="1"/>
  <c r="I441" i="4" s="1"/>
  <c r="B433" i="4"/>
  <c r="H433" i="4" s="1"/>
  <c r="I433" i="4" s="1"/>
  <c r="B429" i="4"/>
  <c r="H429" i="4" s="1"/>
  <c r="I429" i="4" s="1"/>
  <c r="B424" i="4"/>
  <c r="H424" i="4" s="1"/>
  <c r="I424" i="4" s="1"/>
  <c r="B422" i="4"/>
  <c r="H422" i="4" s="1"/>
  <c r="I422" i="4" s="1"/>
  <c r="B419" i="4"/>
  <c r="H419" i="4" s="1"/>
  <c r="I419" i="4" s="1"/>
  <c r="B414" i="4"/>
  <c r="H414" i="4" s="1"/>
  <c r="I414" i="4" s="1"/>
  <c r="B410" i="4"/>
  <c r="H410" i="4" s="1"/>
  <c r="I410" i="4" s="1"/>
  <c r="B408" i="4"/>
  <c r="H408" i="4" s="1"/>
  <c r="I408" i="4" s="1"/>
  <c r="B404" i="4"/>
  <c r="H404" i="4" s="1"/>
  <c r="I404" i="4" s="1"/>
  <c r="B402" i="4"/>
  <c r="H402" i="4" s="1"/>
  <c r="I402" i="4" s="1"/>
  <c r="B396" i="4"/>
  <c r="H396" i="4" s="1"/>
  <c r="I396" i="4" s="1"/>
  <c r="B392" i="4"/>
  <c r="H392" i="4" s="1"/>
  <c r="I392" i="4" s="1"/>
  <c r="B388" i="4"/>
  <c r="H388" i="4" s="1"/>
  <c r="I388" i="4" s="1"/>
  <c r="B384" i="4"/>
  <c r="H384" i="4" s="1"/>
  <c r="I384" i="4" s="1"/>
  <c r="B380" i="4"/>
  <c r="H380" i="4" s="1"/>
  <c r="I380" i="4" s="1"/>
  <c r="B375" i="4"/>
  <c r="H375" i="4" s="1"/>
  <c r="I375" i="4" s="1"/>
  <c r="B369" i="4"/>
  <c r="H369" i="4" s="1"/>
  <c r="I369" i="4" s="1"/>
  <c r="B365" i="4"/>
  <c r="H365" i="4" s="1"/>
  <c r="I365" i="4" s="1"/>
  <c r="B361" i="4"/>
  <c r="H361" i="4" s="1"/>
  <c r="I361" i="4" s="1"/>
  <c r="B357" i="4"/>
  <c r="H357" i="4" s="1"/>
  <c r="I357" i="4" s="1"/>
  <c r="B354" i="4"/>
  <c r="H354" i="4" s="1"/>
  <c r="I354" i="4" s="1"/>
  <c r="B347" i="4"/>
  <c r="H347" i="4" s="1"/>
  <c r="I347" i="4" s="1"/>
  <c r="B343" i="4"/>
  <c r="H343" i="4" s="1"/>
  <c r="I343" i="4" s="1"/>
  <c r="B335" i="4"/>
  <c r="H335" i="4" s="1"/>
  <c r="I335" i="4" s="1"/>
  <c r="B332" i="4"/>
  <c r="H332" i="4" s="1"/>
  <c r="I332" i="4" s="1"/>
  <c r="B325" i="4"/>
  <c r="H325" i="4" s="1"/>
  <c r="I325" i="4" s="1"/>
  <c r="B323" i="4"/>
  <c r="H323" i="4" s="1"/>
  <c r="I323" i="4" s="1"/>
  <c r="B321" i="4"/>
  <c r="H321" i="4" s="1"/>
  <c r="I321" i="4" s="1"/>
  <c r="B315" i="4"/>
  <c r="H315" i="4" s="1"/>
  <c r="I315" i="4" s="1"/>
  <c r="B303" i="4"/>
  <c r="H303" i="4" s="1"/>
  <c r="I303" i="4" s="1"/>
  <c r="B298" i="4"/>
  <c r="H298" i="4" s="1"/>
  <c r="I298" i="4" s="1"/>
  <c r="B290" i="4"/>
  <c r="H290" i="4" s="1"/>
  <c r="I290" i="4" s="1"/>
  <c r="B285" i="4"/>
  <c r="H285" i="4" s="1"/>
  <c r="I285" i="4" s="1"/>
  <c r="B280" i="4"/>
  <c r="H280" i="4" s="1"/>
  <c r="I280" i="4" s="1"/>
  <c r="B274" i="4"/>
  <c r="H274" i="4" s="1"/>
  <c r="I274" i="4" s="1"/>
  <c r="B271" i="4"/>
  <c r="H271" i="4" s="1"/>
  <c r="I271" i="4" s="1"/>
  <c r="B267" i="4"/>
  <c r="H267" i="4" s="1"/>
  <c r="I267" i="4" s="1"/>
  <c r="B263" i="4"/>
  <c r="H263" i="4" s="1"/>
  <c r="I263" i="4" s="1"/>
  <c r="B259" i="4"/>
  <c r="H259" i="4" s="1"/>
  <c r="I259" i="4" s="1"/>
  <c r="B256" i="4"/>
  <c r="H256" i="4" s="1"/>
  <c r="I256" i="4" s="1"/>
  <c r="B252" i="4"/>
  <c r="H252" i="4" s="1"/>
  <c r="I252" i="4" s="1"/>
  <c r="B248" i="4"/>
  <c r="H248" i="4" s="1"/>
  <c r="I248" i="4" s="1"/>
  <c r="B245" i="4"/>
  <c r="H245" i="4" s="1"/>
  <c r="I245" i="4" s="1"/>
  <c r="B241" i="4"/>
  <c r="H241" i="4" s="1"/>
  <c r="I241" i="4" s="1"/>
  <c r="B237" i="4"/>
  <c r="H237" i="4" s="1"/>
  <c r="I237" i="4" s="1"/>
  <c r="B234" i="4"/>
  <c r="H234" i="4" s="1"/>
  <c r="I234" i="4" s="1"/>
  <c r="B230" i="4"/>
  <c r="H230" i="4" s="1"/>
  <c r="I230" i="4" s="1"/>
  <c r="B226" i="4"/>
  <c r="H226" i="4" s="1"/>
  <c r="I226" i="4" s="1"/>
  <c r="B224" i="4"/>
  <c r="H224" i="4" s="1"/>
  <c r="I224" i="4" s="1"/>
  <c r="B221" i="4"/>
  <c r="H221" i="4" s="1"/>
  <c r="I221" i="4" s="1"/>
  <c r="B217" i="4"/>
  <c r="H217" i="4" s="1"/>
  <c r="I217" i="4" s="1"/>
  <c r="B213" i="4"/>
  <c r="H213" i="4" s="1"/>
  <c r="I213" i="4" s="1"/>
  <c r="B210" i="4"/>
  <c r="H210" i="4" s="1"/>
  <c r="I210" i="4" s="1"/>
  <c r="B206" i="4"/>
  <c r="H206" i="4" s="1"/>
  <c r="I206" i="4" s="1"/>
  <c r="B201" i="4"/>
  <c r="H201" i="4" s="1"/>
  <c r="I201" i="4" s="1"/>
  <c r="B196" i="4"/>
  <c r="H196" i="4" s="1"/>
  <c r="I196" i="4" s="1"/>
  <c r="B192" i="4"/>
  <c r="H192" i="4" s="1"/>
  <c r="I192" i="4" s="1"/>
  <c r="B187" i="4"/>
  <c r="H187" i="4" s="1"/>
  <c r="I187" i="4" s="1"/>
  <c r="B183" i="4"/>
  <c r="H183" i="4" s="1"/>
  <c r="I183" i="4" s="1"/>
  <c r="B178" i="4"/>
  <c r="H178" i="4" s="1"/>
  <c r="I178" i="4" s="1"/>
  <c r="B174" i="4"/>
  <c r="H174" i="4" s="1"/>
  <c r="I174" i="4" s="1"/>
  <c r="B172" i="4"/>
  <c r="H172" i="4" s="1"/>
  <c r="I172" i="4" s="1"/>
  <c r="B167" i="4"/>
  <c r="H167" i="4" s="1"/>
  <c r="I167" i="4" s="1"/>
  <c r="B161" i="4"/>
  <c r="H161" i="4" s="1"/>
  <c r="I161" i="4" s="1"/>
  <c r="B156" i="4"/>
  <c r="H156" i="4" s="1"/>
  <c r="I156" i="4" s="1"/>
  <c r="B152" i="4"/>
  <c r="H152" i="4" s="1"/>
  <c r="I152" i="4" s="1"/>
  <c r="B148" i="4"/>
  <c r="H148" i="4" s="1"/>
  <c r="I148" i="4" s="1"/>
  <c r="B145" i="4"/>
  <c r="H145" i="4" s="1"/>
  <c r="I145" i="4" s="1"/>
  <c r="B141" i="4"/>
  <c r="H141" i="4" s="1"/>
  <c r="I141" i="4" s="1"/>
  <c r="B137" i="4"/>
  <c r="H137" i="4" s="1"/>
  <c r="I137" i="4" s="1"/>
  <c r="B134" i="4"/>
  <c r="H134" i="4" s="1"/>
  <c r="I134" i="4" s="1"/>
  <c r="B132" i="4"/>
  <c r="H132" i="4" s="1"/>
  <c r="I132" i="4" s="1"/>
  <c r="B130" i="4"/>
  <c r="H130" i="4" s="1"/>
  <c r="I130" i="4" s="1"/>
  <c r="B123" i="4"/>
  <c r="H123" i="4" s="1"/>
  <c r="I123" i="4" s="1"/>
  <c r="B120" i="4"/>
  <c r="H120" i="4" s="1"/>
  <c r="I120" i="4" s="1"/>
  <c r="B115" i="4"/>
  <c r="H115" i="4" s="1"/>
  <c r="I115" i="4" s="1"/>
  <c r="B107" i="4"/>
  <c r="H107" i="4" s="1"/>
  <c r="I107" i="4" s="1"/>
  <c r="B103" i="4"/>
  <c r="H103" i="4" s="1"/>
  <c r="I103" i="4" s="1"/>
  <c r="B99" i="4"/>
  <c r="H99" i="4" s="1"/>
  <c r="I99" i="4" s="1"/>
  <c r="B95" i="4"/>
  <c r="H95" i="4" s="1"/>
  <c r="I95" i="4" s="1"/>
  <c r="B77" i="4"/>
  <c r="H77" i="4" s="1"/>
  <c r="I77" i="4" s="1"/>
  <c r="B64" i="4"/>
  <c r="H64" i="4" s="1"/>
  <c r="I64" i="4" s="1"/>
  <c r="B63" i="4"/>
  <c r="H63" i="4" s="1"/>
  <c r="I63" i="4" s="1"/>
  <c r="B58" i="4"/>
  <c r="H58" i="4" s="1"/>
  <c r="I58" i="4" s="1"/>
  <c r="B51" i="4"/>
  <c r="H51" i="4" s="1"/>
  <c r="I51" i="4" s="1"/>
  <c r="B46" i="4"/>
  <c r="H46" i="4" s="1"/>
  <c r="I46" i="4" s="1"/>
  <c r="B42" i="4"/>
  <c r="H42" i="4" s="1"/>
  <c r="I42" i="4" s="1"/>
  <c r="B39" i="4"/>
  <c r="H39" i="4" s="1"/>
  <c r="I39" i="4" s="1"/>
  <c r="B35" i="4"/>
  <c r="H35" i="4" s="1"/>
  <c r="I35" i="4" s="1"/>
  <c r="B33" i="4"/>
  <c r="H33" i="4" s="1"/>
  <c r="I33" i="4" s="1"/>
  <c r="B26" i="4"/>
  <c r="H26" i="4" s="1"/>
  <c r="I26" i="4" s="1"/>
  <c r="B20" i="4"/>
  <c r="H20" i="4" s="1"/>
  <c r="I20" i="4" s="1"/>
  <c r="B16" i="4"/>
  <c r="H16" i="4" s="1"/>
  <c r="I16" i="4" s="1"/>
  <c r="B7" i="4"/>
  <c r="H7" i="4" s="1"/>
  <c r="I7" i="4" s="1"/>
  <c r="J130" i="12"/>
  <c r="J128" i="12"/>
  <c r="J127" i="12"/>
  <c r="J125" i="12"/>
  <c r="J124" i="12"/>
  <c r="J123" i="12"/>
  <c r="J122" i="12"/>
  <c r="J121" i="12"/>
  <c r="J116" i="12"/>
  <c r="J115" i="12"/>
  <c r="J112" i="12"/>
  <c r="K112" i="12" s="1"/>
  <c r="J109" i="12"/>
  <c r="J107" i="12"/>
  <c r="J106" i="12"/>
  <c r="J104" i="12"/>
  <c r="J103" i="12"/>
  <c r="J101" i="12"/>
  <c r="J99" i="12"/>
  <c r="J98" i="12"/>
  <c r="J96" i="12"/>
  <c r="J94" i="12"/>
  <c r="K94" i="12" s="1"/>
  <c r="J92" i="12"/>
  <c r="J89" i="12"/>
  <c r="J88" i="12"/>
  <c r="J86" i="12"/>
  <c r="J85" i="12"/>
  <c r="J82" i="12"/>
  <c r="J78" i="12"/>
  <c r="K78" i="12" s="1"/>
  <c r="J77" i="12"/>
  <c r="J74" i="12"/>
  <c r="J73" i="12"/>
  <c r="J53" i="12"/>
  <c r="J48" i="12"/>
  <c r="J47" i="12"/>
  <c r="J45" i="12"/>
  <c r="J44" i="12"/>
  <c r="K44" i="12" s="1"/>
  <c r="J42" i="12"/>
  <c r="J39" i="12"/>
  <c r="J38" i="12"/>
  <c r="J35" i="12"/>
  <c r="J33" i="12"/>
  <c r="J32" i="12"/>
  <c r="J31" i="12"/>
  <c r="D126" i="12"/>
  <c r="B126" i="12"/>
  <c r="B113" i="12"/>
  <c r="F113" i="12" s="1"/>
  <c r="B110" i="12"/>
  <c r="F110" i="12" s="1"/>
  <c r="D108" i="12"/>
  <c r="C108" i="12"/>
  <c r="D105" i="12"/>
  <c r="B102" i="12"/>
  <c r="B97" i="12"/>
  <c r="B93" i="12"/>
  <c r="F93" i="12" s="1"/>
  <c r="D83" i="12"/>
  <c r="C83" i="12"/>
  <c r="B83" i="12"/>
  <c r="D71" i="12"/>
  <c r="B71" i="12"/>
  <c r="D52" i="12"/>
  <c r="B52" i="12"/>
  <c r="H52" i="12" s="1"/>
  <c r="I52" i="12" s="1"/>
  <c r="B46" i="12"/>
  <c r="H46" i="12" s="1"/>
  <c r="I46" i="12" s="1"/>
  <c r="B43" i="12"/>
  <c r="H43" i="12" s="1"/>
  <c r="I43" i="12" s="1"/>
  <c r="D37" i="12"/>
  <c r="F37" i="12" s="1"/>
  <c r="D34" i="12"/>
  <c r="B29" i="12"/>
  <c r="D10" i="12"/>
  <c r="D7" i="12"/>
  <c r="B7" i="12"/>
  <c r="B6" i="12" s="1"/>
  <c r="C5" i="12"/>
  <c r="C811" i="4"/>
  <c r="C810" i="4"/>
  <c r="C809" i="4"/>
  <c r="C808" i="4"/>
  <c r="C806" i="4"/>
  <c r="D804" i="4"/>
  <c r="C804" i="4"/>
  <c r="D803" i="4"/>
  <c r="C803" i="4"/>
  <c r="D801" i="4"/>
  <c r="C801" i="4"/>
  <c r="D796" i="4"/>
  <c r="C796" i="4"/>
  <c r="C794" i="4"/>
  <c r="C793" i="4"/>
  <c r="D776" i="4"/>
  <c r="D775" i="4" s="1"/>
  <c r="D769" i="4"/>
  <c r="D768" i="4" s="1"/>
  <c r="C768" i="4"/>
  <c r="C746" i="4" s="1"/>
  <c r="C812" i="4" s="1"/>
  <c r="D740" i="4"/>
  <c r="D732" i="4"/>
  <c r="D726" i="4"/>
  <c r="D724" i="4"/>
  <c r="D719" i="4"/>
  <c r="D690" i="4"/>
  <c r="D685" i="4"/>
  <c r="D679" i="4"/>
  <c r="D677" i="4"/>
  <c r="D674" i="4"/>
  <c r="D671" i="4"/>
  <c r="D656" i="4"/>
  <c r="D655" i="4" s="1"/>
  <c r="D652" i="4"/>
  <c r="D630" i="4"/>
  <c r="D626" i="4"/>
  <c r="D624" i="4"/>
  <c r="D618" i="4"/>
  <c r="D614" i="4"/>
  <c r="D601" i="4"/>
  <c r="D600" i="4" s="1"/>
  <c r="D590" i="4"/>
  <c r="D585" i="4" s="1"/>
  <c r="D581" i="4"/>
  <c r="D578" i="4" s="1"/>
  <c r="D574" i="4"/>
  <c r="D570" i="4"/>
  <c r="D566" i="4"/>
  <c r="D555" i="4"/>
  <c r="C555" i="4"/>
  <c r="D552" i="4"/>
  <c r="C552" i="4"/>
  <c r="D547" i="4"/>
  <c r="C547" i="4"/>
  <c r="D540" i="4"/>
  <c r="C540" i="4"/>
  <c r="D524" i="4"/>
  <c r="D517" i="4"/>
  <c r="D509" i="4"/>
  <c r="D504" i="4"/>
  <c r="D501" i="4"/>
  <c r="D497" i="4"/>
  <c r="D494" i="4"/>
  <c r="D473" i="4"/>
  <c r="D470" i="4"/>
  <c r="C470" i="4"/>
  <c r="D467" i="4"/>
  <c r="C467" i="4"/>
  <c r="D445" i="4"/>
  <c r="D438" i="4"/>
  <c r="D424" i="4"/>
  <c r="C424" i="4"/>
  <c r="D419" i="4"/>
  <c r="C419" i="4"/>
  <c r="D414" i="4"/>
  <c r="C414" i="4"/>
  <c r="D408" i="4"/>
  <c r="C408" i="4"/>
  <c r="D404" i="4"/>
  <c r="C404" i="4"/>
  <c r="D384" i="4"/>
  <c r="C384" i="4"/>
  <c r="D380" i="4"/>
  <c r="C380" i="4"/>
  <c r="D374" i="4"/>
  <c r="C375" i="4"/>
  <c r="C374" i="4" s="1"/>
  <c r="D369" i="4"/>
  <c r="D368" i="4" s="1"/>
  <c r="C369" i="4"/>
  <c r="C368" i="4" s="1"/>
  <c r="D365" i="4"/>
  <c r="C365" i="4"/>
  <c r="D361" i="4"/>
  <c r="C361" i="4"/>
  <c r="D352" i="4"/>
  <c r="D347" i="4"/>
  <c r="C347" i="4"/>
  <c r="D341" i="4"/>
  <c r="D339" i="4"/>
  <c r="D335" i="4"/>
  <c r="D332" i="4"/>
  <c r="D315" i="4"/>
  <c r="D314" i="4" s="1"/>
  <c r="C315" i="4"/>
  <c r="C314" i="4" s="1"/>
  <c r="D311" i="4"/>
  <c r="D309" i="4"/>
  <c r="D303" i="4"/>
  <c r="C303" i="4"/>
  <c r="C302" i="4" s="1"/>
  <c r="D298" i="4"/>
  <c r="C298" i="4"/>
  <c r="D296" i="4"/>
  <c r="D290" i="4"/>
  <c r="C290" i="4"/>
  <c r="D280" i="4"/>
  <c r="D279" i="4" s="1"/>
  <c r="C280" i="4"/>
  <c r="C279" i="4" s="1"/>
  <c r="D245" i="4"/>
  <c r="D241" i="4"/>
  <c r="C241" i="4"/>
  <c r="C240" i="4" s="1"/>
  <c r="D213" i="4"/>
  <c r="D210" i="4"/>
  <c r="D206" i="4"/>
  <c r="C206" i="4"/>
  <c r="C205" i="4" s="1"/>
  <c r="D183" i="4"/>
  <c r="D178" i="4"/>
  <c r="C178" i="4"/>
  <c r="C177" i="4" s="1"/>
  <c r="D174" i="4"/>
  <c r="D166" i="4" s="1"/>
  <c r="C174" i="4"/>
  <c r="D156" i="4"/>
  <c r="D151" i="4" s="1"/>
  <c r="C156" i="4"/>
  <c r="C151" i="4" s="1"/>
  <c r="D145" i="4"/>
  <c r="D140" i="4" s="1"/>
  <c r="C145" i="4"/>
  <c r="C140" i="4" s="1"/>
  <c r="D124" i="4"/>
  <c r="D122" i="4"/>
  <c r="D115" i="4"/>
  <c r="C115" i="4"/>
  <c r="D107" i="4"/>
  <c r="C107" i="4"/>
  <c r="D94" i="4"/>
  <c r="C94" i="4"/>
  <c r="D82" i="4"/>
  <c r="C82" i="4"/>
  <c r="D77" i="4"/>
  <c r="C77" i="4"/>
  <c r="D69" i="4"/>
  <c r="C69" i="4"/>
  <c r="D64" i="4"/>
  <c r="C64" i="4"/>
  <c r="D58" i="4"/>
  <c r="C58" i="4"/>
  <c r="D46" i="4"/>
  <c r="D45" i="4" s="1"/>
  <c r="C46" i="4"/>
  <c r="C45" i="4" s="1"/>
  <c r="D39" i="4"/>
  <c r="D38" i="4" s="1"/>
  <c r="C39" i="4"/>
  <c r="C38" i="4" s="1"/>
  <c r="D35" i="4"/>
  <c r="D25" i="4" s="1"/>
  <c r="C35" i="4"/>
  <c r="C25" i="4" s="1"/>
  <c r="D10" i="4"/>
  <c r="D7" i="4"/>
  <c r="J9" i="7"/>
  <c r="K9" i="7"/>
  <c r="J12" i="7"/>
  <c r="K12" i="7"/>
  <c r="J16" i="7"/>
  <c r="K16" i="7"/>
  <c r="J22" i="7"/>
  <c r="K22" i="7"/>
  <c r="J28" i="7"/>
  <c r="K28" i="7"/>
  <c r="J34" i="7"/>
  <c r="K34" i="7"/>
  <c r="J36" i="7"/>
  <c r="K36" i="7"/>
  <c r="J41" i="7"/>
  <c r="K41" i="7"/>
  <c r="J46" i="7"/>
  <c r="K46" i="7"/>
  <c r="J47" i="7"/>
  <c r="K47" i="7"/>
  <c r="J48" i="7"/>
  <c r="K48" i="7"/>
  <c r="J49" i="7"/>
  <c r="K49" i="7"/>
  <c r="J52" i="7"/>
  <c r="K52" i="7"/>
  <c r="J53" i="7"/>
  <c r="K53" i="7"/>
  <c r="J56" i="7"/>
  <c r="K56" i="7"/>
  <c r="J57" i="7"/>
  <c r="K57" i="7"/>
  <c r="J58" i="7"/>
  <c r="K58" i="7"/>
  <c r="J59" i="7"/>
  <c r="K59" i="7"/>
  <c r="J61" i="7"/>
  <c r="K61" i="7"/>
  <c r="J82" i="7"/>
  <c r="K82" i="7"/>
  <c r="J93" i="7"/>
  <c r="K93" i="7"/>
  <c r="J95" i="7"/>
  <c r="K95" i="7"/>
  <c r="J96" i="7"/>
  <c r="K96" i="7"/>
  <c r="D91" i="7"/>
  <c r="B91" i="7"/>
  <c r="D86" i="7"/>
  <c r="D83" i="7" s="1"/>
  <c r="B86" i="7"/>
  <c r="J85" i="7"/>
  <c r="K85" i="7" s="1"/>
  <c r="B84" i="7"/>
  <c r="J79" i="7"/>
  <c r="K79" i="7" s="1"/>
  <c r="B78" i="7"/>
  <c r="H78" i="7" s="1"/>
  <c r="I78" i="7" s="1"/>
  <c r="J76" i="7"/>
  <c r="K76" i="7" s="1"/>
  <c r="D74" i="7"/>
  <c r="B74" i="7"/>
  <c r="J73" i="7"/>
  <c r="K73" i="7" s="1"/>
  <c r="J72" i="7"/>
  <c r="K72" i="7" s="1"/>
  <c r="J69" i="7"/>
  <c r="K69" i="7" s="1"/>
  <c r="D68" i="7"/>
  <c r="B68" i="7"/>
  <c r="J65" i="7"/>
  <c r="K65" i="7" s="1"/>
  <c r="J64" i="7"/>
  <c r="K64" i="7" s="1"/>
  <c r="B63" i="7"/>
  <c r="D56" i="7"/>
  <c r="F56" i="7" s="1"/>
  <c r="D52" i="7"/>
  <c r="F52" i="7" s="1"/>
  <c r="D48" i="7"/>
  <c r="F48" i="7" s="1"/>
  <c r="D46" i="7"/>
  <c r="J45" i="7"/>
  <c r="K45" i="7" s="1"/>
  <c r="J44" i="7"/>
  <c r="K44" i="7" s="1"/>
  <c r="B43" i="7"/>
  <c r="J38" i="7"/>
  <c r="K38" i="7" s="1"/>
  <c r="D37" i="7"/>
  <c r="B37" i="7"/>
  <c r="H37" i="7" s="1"/>
  <c r="I37" i="7" s="1"/>
  <c r="J33" i="7"/>
  <c r="K33" i="7" s="1"/>
  <c r="B32" i="7"/>
  <c r="B30" i="7"/>
  <c r="J26" i="7"/>
  <c r="K26" i="7" s="1"/>
  <c r="J25" i="7"/>
  <c r="K25" i="7" s="1"/>
  <c r="B23" i="7"/>
  <c r="J21" i="7"/>
  <c r="K21" i="7" s="1"/>
  <c r="D20" i="7"/>
  <c r="B20" i="7"/>
  <c r="B18" i="7"/>
  <c r="H18" i="7" s="1"/>
  <c r="I18" i="7" s="1"/>
  <c r="J15" i="7"/>
  <c r="K15" i="7" s="1"/>
  <c r="D14" i="7"/>
  <c r="B14" i="7"/>
  <c r="B10" i="7"/>
  <c r="F10" i="7" s="1"/>
  <c r="B8" i="7"/>
  <c r="H8" i="7" s="1"/>
  <c r="I8" i="7" s="1"/>
  <c r="D7" i="7"/>
  <c r="D6" i="7" s="1"/>
  <c r="C7" i="7"/>
  <c r="C6" i="7" s="1"/>
  <c r="C94" i="7" s="1"/>
  <c r="D6" i="12" l="1"/>
  <c r="H14" i="12"/>
  <c r="I14" i="12" s="1"/>
  <c r="G6" i="12"/>
  <c r="H7" i="12"/>
  <c r="I7" i="12" s="1"/>
  <c r="F29" i="12"/>
  <c r="H29" i="12"/>
  <c r="I29" i="12" s="1"/>
  <c r="F97" i="12"/>
  <c r="H97" i="12"/>
  <c r="I97" i="12" s="1"/>
  <c r="F102" i="12"/>
  <c r="H102" i="12"/>
  <c r="I102" i="12" s="1"/>
  <c r="H71" i="12"/>
  <c r="I71" i="12" s="1"/>
  <c r="H93" i="12"/>
  <c r="I93" i="12" s="1"/>
  <c r="F126" i="12"/>
  <c r="H126" i="12"/>
  <c r="I126" i="12" s="1"/>
  <c r="H110" i="12"/>
  <c r="I110" i="12" s="1"/>
  <c r="F75" i="12"/>
  <c r="H83" i="12"/>
  <c r="I83" i="12" s="1"/>
  <c r="H113" i="12"/>
  <c r="I113" i="12" s="1"/>
  <c r="J103" i="4"/>
  <c r="K103" i="4" s="1"/>
  <c r="J237" i="4"/>
  <c r="K237" i="4" s="1"/>
  <c r="J285" i="4"/>
  <c r="K285" i="4" s="1"/>
  <c r="J167" i="4"/>
  <c r="K167" i="4" s="1"/>
  <c r="J16" i="4"/>
  <c r="K16" i="4" s="1"/>
  <c r="J201" i="4"/>
  <c r="K201" i="4" s="1"/>
  <c r="J464" i="4"/>
  <c r="K464" i="4" s="1"/>
  <c r="J784" i="4"/>
  <c r="K784" i="4" s="1"/>
  <c r="J749" i="4"/>
  <c r="K749" i="4" s="1"/>
  <c r="J478" i="4"/>
  <c r="K478" i="4" s="1"/>
  <c r="J537" i="4"/>
  <c r="K537" i="4" s="1"/>
  <c r="J586" i="4"/>
  <c r="K586" i="4" s="1"/>
  <c r="J752" i="4"/>
  <c r="K752" i="4" s="1"/>
  <c r="J480" i="4"/>
  <c r="K480" i="4" s="1"/>
  <c r="J429" i="4"/>
  <c r="K429" i="4" s="1"/>
  <c r="J388" i="4"/>
  <c r="K388" i="4" s="1"/>
  <c r="J392" i="4"/>
  <c r="K392" i="4" s="1"/>
  <c r="J607" i="4"/>
  <c r="K607" i="4" s="1"/>
  <c r="J396" i="4"/>
  <c r="K396" i="4" s="1"/>
  <c r="J455" i="4"/>
  <c r="K455" i="4" s="1"/>
  <c r="F32" i="7"/>
  <c r="H32" i="7"/>
  <c r="I32" i="7" s="1"/>
  <c r="F63" i="7"/>
  <c r="H63" i="7"/>
  <c r="I63" i="7" s="1"/>
  <c r="F84" i="7"/>
  <c r="J84" i="7" s="1"/>
  <c r="K84" i="7" s="1"/>
  <c r="H84" i="7"/>
  <c r="I84" i="7" s="1"/>
  <c r="F14" i="7"/>
  <c r="H14" i="7"/>
  <c r="I14" i="7" s="1"/>
  <c r="F68" i="7"/>
  <c r="H68" i="7"/>
  <c r="I68" i="7" s="1"/>
  <c r="F86" i="7"/>
  <c r="J86" i="7" s="1"/>
  <c r="K86" i="7" s="1"/>
  <c r="H86" i="7"/>
  <c r="I86" i="7" s="1"/>
  <c r="F20" i="7"/>
  <c r="H20" i="7"/>
  <c r="I20" i="7" s="1"/>
  <c r="F43" i="7"/>
  <c r="J43" i="7" s="1"/>
  <c r="K43" i="7" s="1"/>
  <c r="H43" i="7"/>
  <c r="I43" i="7" s="1"/>
  <c r="F91" i="7"/>
  <c r="H91" i="7"/>
  <c r="I91" i="7" s="1"/>
  <c r="F23" i="7"/>
  <c r="H23" i="7"/>
  <c r="I23" i="7" s="1"/>
  <c r="F74" i="7"/>
  <c r="H74" i="7"/>
  <c r="I74" i="7" s="1"/>
  <c r="F30" i="7"/>
  <c r="J30" i="7" s="1"/>
  <c r="K30" i="7" s="1"/>
  <c r="H30" i="7"/>
  <c r="I30" i="7" s="1"/>
  <c r="F37" i="7"/>
  <c r="F18" i="7"/>
  <c r="F46" i="7"/>
  <c r="F8" i="7"/>
  <c r="F78" i="7"/>
  <c r="G50" i="12"/>
  <c r="G108" i="12"/>
  <c r="F80" i="12"/>
  <c r="J80" i="12" s="1"/>
  <c r="J20" i="7"/>
  <c r="K20" i="7" s="1"/>
  <c r="J37" i="7"/>
  <c r="K37" i="7" s="1"/>
  <c r="G10" i="7"/>
  <c r="H10" i="7" s="1"/>
  <c r="I10" i="7" s="1"/>
  <c r="J23" i="7"/>
  <c r="K23" i="7" s="1"/>
  <c r="B62" i="7"/>
  <c r="J63" i="7"/>
  <c r="K63" i="7" s="1"/>
  <c r="B77" i="7"/>
  <c r="H77" i="7" s="1"/>
  <c r="I77" i="7" s="1"/>
  <c r="F7" i="12"/>
  <c r="F83" i="12"/>
  <c r="D23" i="4"/>
  <c r="B45" i="4"/>
  <c r="H45" i="4" s="1"/>
  <c r="I45" i="4" s="1"/>
  <c r="J46" i="4"/>
  <c r="K46" i="4" s="1"/>
  <c r="J115" i="4"/>
  <c r="K115" i="4" s="1"/>
  <c r="J161" i="4"/>
  <c r="K161" i="4" s="1"/>
  <c r="J213" i="4"/>
  <c r="J354" i="4"/>
  <c r="K354" i="4" s="1"/>
  <c r="J404" i="4"/>
  <c r="K404" i="4" s="1"/>
  <c r="J458" i="4"/>
  <c r="K458" i="4" s="1"/>
  <c r="B508" i="4"/>
  <c r="H508" i="4" s="1"/>
  <c r="I508" i="4" s="1"/>
  <c r="J509" i="4"/>
  <c r="K509" i="4" s="1"/>
  <c r="J566" i="4"/>
  <c r="K566" i="4" s="1"/>
  <c r="J618" i="4"/>
  <c r="K618" i="4" s="1"/>
  <c r="J674" i="4"/>
  <c r="K674" i="4" s="1"/>
  <c r="J726" i="4"/>
  <c r="K726" i="4" s="1"/>
  <c r="J779" i="4"/>
  <c r="K779" i="4" s="1"/>
  <c r="J630" i="4"/>
  <c r="K630" i="4" s="1"/>
  <c r="B50" i="4"/>
  <c r="H50" i="4" s="1"/>
  <c r="I50" i="4" s="1"/>
  <c r="J51" i="4"/>
  <c r="K51" i="4" s="1"/>
  <c r="J241" i="4"/>
  <c r="K241" i="4" s="1"/>
  <c r="J290" i="4"/>
  <c r="K290" i="4" s="1"/>
  <c r="J357" i="4"/>
  <c r="K357" i="4" s="1"/>
  <c r="J408" i="4"/>
  <c r="K408" i="4" s="1"/>
  <c r="J517" i="4"/>
  <c r="K517" i="4" s="1"/>
  <c r="J570" i="4"/>
  <c r="K570" i="4" s="1"/>
  <c r="J626" i="4"/>
  <c r="K626" i="4" s="1"/>
  <c r="J677" i="4"/>
  <c r="K677" i="4" s="1"/>
  <c r="J732" i="4"/>
  <c r="K732" i="4" s="1"/>
  <c r="J339" i="4"/>
  <c r="D639" i="4"/>
  <c r="J652" i="4"/>
  <c r="J58" i="4"/>
  <c r="K58" i="4" s="1"/>
  <c r="J172" i="4"/>
  <c r="K172" i="4" s="1"/>
  <c r="J245" i="4"/>
  <c r="K245" i="4" s="1"/>
  <c r="J298" i="4"/>
  <c r="K298" i="4" s="1"/>
  <c r="J361" i="4"/>
  <c r="K361" i="4" s="1"/>
  <c r="J410" i="4"/>
  <c r="K410" i="4" s="1"/>
  <c r="J467" i="4"/>
  <c r="K467" i="4" s="1"/>
  <c r="J520" i="4"/>
  <c r="K520" i="4" s="1"/>
  <c r="J574" i="4"/>
  <c r="K574" i="4" s="1"/>
  <c r="J679" i="4"/>
  <c r="K679" i="4" s="1"/>
  <c r="J738" i="4"/>
  <c r="K738" i="4" s="1"/>
  <c r="J787" i="4"/>
  <c r="K787" i="4" s="1"/>
  <c r="J296" i="4"/>
  <c r="J341" i="4"/>
  <c r="J63" i="4"/>
  <c r="J130" i="4"/>
  <c r="K130" i="4" s="1"/>
  <c r="J174" i="4"/>
  <c r="K174" i="4" s="1"/>
  <c r="J248" i="4"/>
  <c r="K248" i="4" s="1"/>
  <c r="B302" i="4"/>
  <c r="H302" i="4" s="1"/>
  <c r="I302" i="4" s="1"/>
  <c r="J303" i="4"/>
  <c r="K303" i="4" s="1"/>
  <c r="J365" i="4"/>
  <c r="K365" i="4" s="1"/>
  <c r="J414" i="4"/>
  <c r="K414" i="4" s="1"/>
  <c r="J470" i="4"/>
  <c r="K470" i="4" s="1"/>
  <c r="J524" i="4"/>
  <c r="K524" i="4" s="1"/>
  <c r="J579" i="4"/>
  <c r="K579" i="4" s="1"/>
  <c r="J632" i="4"/>
  <c r="K632" i="4" s="1"/>
  <c r="J685" i="4"/>
  <c r="K685" i="4" s="1"/>
  <c r="J740" i="4"/>
  <c r="K740" i="4" s="1"/>
  <c r="J803" i="4"/>
  <c r="K803" i="4" s="1"/>
  <c r="B6" i="4"/>
  <c r="J7" i="4"/>
  <c r="J64" i="4"/>
  <c r="K64" i="4" s="1"/>
  <c r="J132" i="4"/>
  <c r="J178" i="4"/>
  <c r="K178" i="4" s="1"/>
  <c r="J217" i="4"/>
  <c r="K217" i="4" s="1"/>
  <c r="J252" i="4"/>
  <c r="K252" i="4" s="1"/>
  <c r="J315" i="4"/>
  <c r="K315" i="4" s="1"/>
  <c r="B368" i="4"/>
  <c r="H368" i="4" s="1"/>
  <c r="I368" i="4" s="1"/>
  <c r="J369" i="4"/>
  <c r="K369" i="4" s="1"/>
  <c r="J419" i="4"/>
  <c r="K419" i="4" s="1"/>
  <c r="J473" i="4"/>
  <c r="K473" i="4" s="1"/>
  <c r="J529" i="4"/>
  <c r="K529" i="4" s="1"/>
  <c r="J581" i="4"/>
  <c r="K581" i="4" s="1"/>
  <c r="J635" i="4"/>
  <c r="K635" i="4" s="1"/>
  <c r="J690" i="4"/>
  <c r="K690" i="4" s="1"/>
  <c r="J10" i="4"/>
  <c r="K10" i="4" s="1"/>
  <c r="D120" i="4"/>
  <c r="J120" i="4" s="1"/>
  <c r="K120" i="4" s="1"/>
  <c r="J122" i="4"/>
  <c r="K122" i="4" s="1"/>
  <c r="B69" i="4"/>
  <c r="H69" i="4" s="1"/>
  <c r="I69" i="4" s="1"/>
  <c r="J134" i="4"/>
  <c r="K134" i="4" s="1"/>
  <c r="J183" i="4"/>
  <c r="K183" i="4" s="1"/>
  <c r="J221" i="4"/>
  <c r="K221" i="4" s="1"/>
  <c r="J256" i="4"/>
  <c r="K256" i="4" s="1"/>
  <c r="J321" i="4"/>
  <c r="K321" i="4" s="1"/>
  <c r="J375" i="4"/>
  <c r="K375" i="4" s="1"/>
  <c r="J422" i="4"/>
  <c r="K422" i="4" s="1"/>
  <c r="J640" i="4"/>
  <c r="K640" i="4" s="1"/>
  <c r="J695" i="4"/>
  <c r="K695" i="4" s="1"/>
  <c r="D123" i="4"/>
  <c r="J123" i="4" s="1"/>
  <c r="K123" i="4" s="1"/>
  <c r="J124" i="4"/>
  <c r="K124" i="4" s="1"/>
  <c r="J352" i="4"/>
  <c r="D444" i="4"/>
  <c r="J444" i="4" s="1"/>
  <c r="K444" i="4" s="1"/>
  <c r="J445" i="4"/>
  <c r="K445" i="4" s="1"/>
  <c r="B19" i="4"/>
  <c r="H19" i="4" s="1"/>
  <c r="I19" i="4" s="1"/>
  <c r="J20" i="4"/>
  <c r="K20" i="4" s="1"/>
  <c r="J77" i="4"/>
  <c r="K77" i="4" s="1"/>
  <c r="J137" i="4"/>
  <c r="K137" i="4" s="1"/>
  <c r="J187" i="4"/>
  <c r="K187" i="4" s="1"/>
  <c r="J224" i="4"/>
  <c r="K224" i="4" s="1"/>
  <c r="J259" i="4"/>
  <c r="K259" i="4" s="1"/>
  <c r="J323" i="4"/>
  <c r="K323" i="4" s="1"/>
  <c r="J380" i="4"/>
  <c r="K380" i="4" s="1"/>
  <c r="J424" i="4"/>
  <c r="K424" i="4" s="1"/>
  <c r="J540" i="4"/>
  <c r="K540" i="4" s="1"/>
  <c r="J590" i="4"/>
  <c r="K590" i="4" s="1"/>
  <c r="J646" i="4"/>
  <c r="K646" i="4" s="1"/>
  <c r="J699" i="4"/>
  <c r="K699" i="4" s="1"/>
  <c r="J755" i="4"/>
  <c r="K755" i="4" s="1"/>
  <c r="J26" i="4"/>
  <c r="K26" i="4" s="1"/>
  <c r="B82" i="4"/>
  <c r="H82" i="4" s="1"/>
  <c r="I82" i="4" s="1"/>
  <c r="J141" i="4"/>
  <c r="K141" i="4" s="1"/>
  <c r="J192" i="4"/>
  <c r="K192" i="4" s="1"/>
  <c r="J226" i="4"/>
  <c r="K226" i="4" s="1"/>
  <c r="B262" i="4"/>
  <c r="H262" i="4" s="1"/>
  <c r="I262" i="4" s="1"/>
  <c r="J263" i="4"/>
  <c r="K263" i="4" s="1"/>
  <c r="J325" i="4"/>
  <c r="K325" i="4" s="1"/>
  <c r="J384" i="4"/>
  <c r="K384" i="4" s="1"/>
  <c r="B483" i="4"/>
  <c r="H483" i="4" s="1"/>
  <c r="I483" i="4" s="1"/>
  <c r="J484" i="4"/>
  <c r="K484" i="4" s="1"/>
  <c r="J544" i="4"/>
  <c r="K544" i="4" s="1"/>
  <c r="B594" i="4"/>
  <c r="H594" i="4" s="1"/>
  <c r="I594" i="4" s="1"/>
  <c r="J595" i="4"/>
  <c r="K595" i="4" s="1"/>
  <c r="J649" i="4"/>
  <c r="K649" i="4" s="1"/>
  <c r="J705" i="4"/>
  <c r="K705" i="4" s="1"/>
  <c r="J759" i="4"/>
  <c r="K759" i="4" s="1"/>
  <c r="J309" i="4"/>
  <c r="K309" i="4" s="1"/>
  <c r="J33" i="4"/>
  <c r="K33" i="4" s="1"/>
  <c r="J95" i="4"/>
  <c r="K95" i="4" s="1"/>
  <c r="J145" i="4"/>
  <c r="K145" i="4" s="1"/>
  <c r="J196" i="4"/>
  <c r="K196" i="4" s="1"/>
  <c r="J230" i="4"/>
  <c r="K230" i="4" s="1"/>
  <c r="J267" i="4"/>
  <c r="K267" i="4" s="1"/>
  <c r="J332" i="4"/>
  <c r="K332" i="4" s="1"/>
  <c r="J433" i="4"/>
  <c r="K433" i="4" s="1"/>
  <c r="J494" i="4"/>
  <c r="K494" i="4" s="1"/>
  <c r="J547" i="4"/>
  <c r="K547" i="4" s="1"/>
  <c r="B600" i="4"/>
  <c r="H600" i="4" s="1"/>
  <c r="I600" i="4" s="1"/>
  <c r="J601" i="4"/>
  <c r="K601" i="4" s="1"/>
  <c r="B655" i="4"/>
  <c r="H655" i="4" s="1"/>
  <c r="I655" i="4" s="1"/>
  <c r="J656" i="4"/>
  <c r="K656" i="4" s="1"/>
  <c r="J709" i="4"/>
  <c r="K709" i="4" s="1"/>
  <c r="B763" i="4"/>
  <c r="H763" i="4" s="1"/>
  <c r="I763" i="4" s="1"/>
  <c r="J764" i="4"/>
  <c r="K764" i="4" s="1"/>
  <c r="J311" i="4"/>
  <c r="K311" i="4" s="1"/>
  <c r="J35" i="4"/>
  <c r="K35" i="4" s="1"/>
  <c r="J99" i="4"/>
  <c r="K99" i="4" s="1"/>
  <c r="J148" i="4"/>
  <c r="K148" i="4" s="1"/>
  <c r="J234" i="4"/>
  <c r="K234" i="4" s="1"/>
  <c r="J271" i="4"/>
  <c r="K271" i="4" s="1"/>
  <c r="J335" i="4"/>
  <c r="K335" i="4" s="1"/>
  <c r="B438" i="4"/>
  <c r="H438" i="4" s="1"/>
  <c r="I438" i="4" s="1"/>
  <c r="J441" i="4"/>
  <c r="K441" i="4" s="1"/>
  <c r="J497" i="4"/>
  <c r="K497" i="4" s="1"/>
  <c r="J552" i="4"/>
  <c r="K552" i="4" s="1"/>
  <c r="J667" i="4"/>
  <c r="K667" i="4" s="1"/>
  <c r="J712" i="4"/>
  <c r="K712" i="4" s="1"/>
  <c r="J769" i="4"/>
  <c r="K769" i="4" s="1"/>
  <c r="J39" i="4"/>
  <c r="K39" i="4" s="1"/>
  <c r="J152" i="4"/>
  <c r="K152" i="4" s="1"/>
  <c r="J206" i="4"/>
  <c r="K206" i="4" s="1"/>
  <c r="J274" i="4"/>
  <c r="K274" i="4" s="1"/>
  <c r="J343" i="4"/>
  <c r="K343" i="4" s="1"/>
  <c r="J501" i="4"/>
  <c r="K501" i="4" s="1"/>
  <c r="J555" i="4"/>
  <c r="K555" i="4" s="1"/>
  <c r="J610" i="4"/>
  <c r="K610" i="4" s="1"/>
  <c r="J669" i="4"/>
  <c r="K669" i="4" s="1"/>
  <c r="J719" i="4"/>
  <c r="K719" i="4" s="1"/>
  <c r="J772" i="4"/>
  <c r="K772" i="4" s="1"/>
  <c r="J624" i="4"/>
  <c r="K624" i="4" s="1"/>
  <c r="J42" i="4"/>
  <c r="K42" i="4" s="1"/>
  <c r="J107" i="4"/>
  <c r="K107" i="4" s="1"/>
  <c r="J156" i="4"/>
  <c r="K156" i="4" s="1"/>
  <c r="J210" i="4"/>
  <c r="K210" i="4" s="1"/>
  <c r="J280" i="4"/>
  <c r="J347" i="4"/>
  <c r="K347" i="4" s="1"/>
  <c r="J402" i="4"/>
  <c r="K402" i="4" s="1"/>
  <c r="J504" i="4"/>
  <c r="K504" i="4" s="1"/>
  <c r="J563" i="4"/>
  <c r="K563" i="4" s="1"/>
  <c r="J614" i="4"/>
  <c r="K614" i="4" s="1"/>
  <c r="J671" i="4"/>
  <c r="K671" i="4" s="1"/>
  <c r="J724" i="4"/>
  <c r="K724" i="4" s="1"/>
  <c r="J776" i="4"/>
  <c r="K776" i="4" s="1"/>
  <c r="F10" i="12"/>
  <c r="F43" i="12"/>
  <c r="J43" i="12" s="1"/>
  <c r="K43" i="12" s="1"/>
  <c r="F71" i="12"/>
  <c r="F46" i="12"/>
  <c r="J46" i="12" s="1"/>
  <c r="F105" i="12"/>
  <c r="J105" i="12" s="1"/>
  <c r="D27" i="12"/>
  <c r="F34" i="12"/>
  <c r="J34" i="12" s="1"/>
  <c r="F52" i="12"/>
  <c r="D67" i="7"/>
  <c r="J91" i="7"/>
  <c r="K91" i="7" s="1"/>
  <c r="B360" i="4"/>
  <c r="H360" i="4" s="1"/>
  <c r="I360" i="4" s="1"/>
  <c r="B783" i="4"/>
  <c r="H783" i="4" s="1"/>
  <c r="I783" i="4" s="1"/>
  <c r="G11" i="7"/>
  <c r="B718" i="4"/>
  <c r="H718" i="4" s="1"/>
  <c r="I718" i="4" s="1"/>
  <c r="B166" i="4"/>
  <c r="H166" i="4" s="1"/>
  <c r="I166" i="4" s="1"/>
  <c r="B731" i="4"/>
  <c r="H731" i="4" s="1"/>
  <c r="I731" i="4" s="1"/>
  <c r="D13" i="7"/>
  <c r="B768" i="4"/>
  <c r="H768" i="4" s="1"/>
  <c r="I768" i="4" s="1"/>
  <c r="B289" i="4"/>
  <c r="H289" i="4" s="1"/>
  <c r="I289" i="4" s="1"/>
  <c r="J14" i="7"/>
  <c r="K14" i="7" s="1"/>
  <c r="B516" i="4"/>
  <c r="H516" i="4" s="1"/>
  <c r="I516" i="4" s="1"/>
  <c r="D42" i="7"/>
  <c r="D35" i="7" s="1"/>
  <c r="B7" i="7"/>
  <c r="B29" i="7"/>
  <c r="J74" i="7"/>
  <c r="K74" i="7" s="1"/>
  <c r="B42" i="7"/>
  <c r="J68" i="7"/>
  <c r="K68" i="7" s="1"/>
  <c r="B94" i="4"/>
  <c r="H94" i="4" s="1"/>
  <c r="I94" i="4" s="1"/>
  <c r="J31" i="7"/>
  <c r="K31" i="7" s="1"/>
  <c r="J80" i="7"/>
  <c r="K80" i="7" s="1"/>
  <c r="B61" i="4"/>
  <c r="H61" i="4" s="1"/>
  <c r="I61" i="4" s="1"/>
  <c r="B160" i="4"/>
  <c r="H160" i="4" s="1"/>
  <c r="I160" i="4" s="1"/>
  <c r="J27" i="7"/>
  <c r="K27" i="7" s="1"/>
  <c r="J39" i="7"/>
  <c r="K39" i="7" s="1"/>
  <c r="J24" i="7"/>
  <c r="K24" i="7" s="1"/>
  <c r="C50" i="12"/>
  <c r="J57" i="12"/>
  <c r="K57" i="12" s="1"/>
  <c r="J61" i="12"/>
  <c r="K61" i="12" s="1"/>
  <c r="J65" i="12"/>
  <c r="K65" i="12" s="1"/>
  <c r="J76" i="12"/>
  <c r="K76" i="12" s="1"/>
  <c r="J84" i="12"/>
  <c r="K84" i="12" s="1"/>
  <c r="J129" i="12"/>
  <c r="K129" i="12" s="1"/>
  <c r="J110" i="12"/>
  <c r="K110" i="12" s="1"/>
  <c r="J54" i="12"/>
  <c r="K54" i="12" s="1"/>
  <c r="K58" i="12"/>
  <c r="J58" i="12"/>
  <c r="K62" i="12"/>
  <c r="J62" i="12"/>
  <c r="J72" i="12"/>
  <c r="K72" i="12" s="1"/>
  <c r="J95" i="12"/>
  <c r="K95" i="12" s="1"/>
  <c r="J114" i="12"/>
  <c r="K114" i="12" s="1"/>
  <c r="J67" i="12"/>
  <c r="K67" i="12" s="1"/>
  <c r="J113" i="12"/>
  <c r="K113" i="12" s="1"/>
  <c r="J28" i="12"/>
  <c r="K28" i="12" s="1"/>
  <c r="J55" i="12"/>
  <c r="K55" i="12" s="1"/>
  <c r="J59" i="12"/>
  <c r="K59" i="12" s="1"/>
  <c r="K63" i="12"/>
  <c r="J63" i="12"/>
  <c r="J90" i="12"/>
  <c r="K90" i="12" s="1"/>
  <c r="J66" i="12"/>
  <c r="K66" i="12" s="1"/>
  <c r="J37" i="12"/>
  <c r="J30" i="12"/>
  <c r="K30" i="12" s="1"/>
  <c r="K51" i="12"/>
  <c r="J51" i="12"/>
  <c r="K56" i="12"/>
  <c r="J56" i="12"/>
  <c r="J60" i="12"/>
  <c r="K60" i="12" s="1"/>
  <c r="J64" i="12"/>
  <c r="K64" i="12" s="1"/>
  <c r="J87" i="12"/>
  <c r="K87" i="12" s="1"/>
  <c r="J111" i="12"/>
  <c r="K111" i="12" s="1"/>
  <c r="O48" i="36"/>
  <c r="J93" i="12"/>
  <c r="K93" i="12" s="1"/>
  <c r="B551" i="4"/>
  <c r="H551" i="4" s="1"/>
  <c r="I551" i="4" s="1"/>
  <c r="B477" i="4"/>
  <c r="H477" i="4" s="1"/>
  <c r="I477" i="4" s="1"/>
  <c r="B195" i="4"/>
  <c r="H195" i="4" s="1"/>
  <c r="I195" i="4" s="1"/>
  <c r="B15" i="4"/>
  <c r="H15" i="4" s="1"/>
  <c r="I15" i="4" s="1"/>
  <c r="B684" i="4"/>
  <c r="H684" i="4" s="1"/>
  <c r="I684" i="4" s="1"/>
  <c r="B536" i="4"/>
  <c r="H536" i="4" s="1"/>
  <c r="I536" i="4" s="1"/>
  <c r="B585" i="4"/>
  <c r="H585" i="4" s="1"/>
  <c r="I585" i="4" s="1"/>
  <c r="B98" i="4"/>
  <c r="H98" i="4" s="1"/>
  <c r="I98" i="4" s="1"/>
  <c r="B428" i="4"/>
  <c r="H428" i="4" s="1"/>
  <c r="I428" i="4" s="1"/>
  <c r="B240" i="4"/>
  <c r="H240" i="4" s="1"/>
  <c r="I240" i="4" s="1"/>
  <c r="B229" i="4"/>
  <c r="H229" i="4" s="1"/>
  <c r="I229" i="4" s="1"/>
  <c r="B639" i="4"/>
  <c r="H639" i="4" s="1"/>
  <c r="I639" i="4" s="1"/>
  <c r="B694" i="4"/>
  <c r="H694" i="4" s="1"/>
  <c r="I694" i="4" s="1"/>
  <c r="B205" i="4"/>
  <c r="H205" i="4" s="1"/>
  <c r="I205" i="4" s="1"/>
  <c r="B279" i="4"/>
  <c r="H279" i="4" s="1"/>
  <c r="I279" i="4" s="1"/>
  <c r="B748" i="4"/>
  <c r="H748" i="4" s="1"/>
  <c r="I748" i="4" s="1"/>
  <c r="B25" i="4"/>
  <c r="H25" i="4" s="1"/>
  <c r="I25" i="4" s="1"/>
  <c r="B68" i="4"/>
  <c r="H68" i="4" s="1"/>
  <c r="I68" i="4" s="1"/>
  <c r="B454" i="4"/>
  <c r="H454" i="4" s="1"/>
  <c r="I454" i="4" s="1"/>
  <c r="B606" i="4"/>
  <c r="H606" i="4" s="1"/>
  <c r="I606" i="4" s="1"/>
  <c r="B140" i="4"/>
  <c r="H140" i="4" s="1"/>
  <c r="I140" i="4" s="1"/>
  <c r="B186" i="4"/>
  <c r="H186" i="4" s="1"/>
  <c r="I186" i="4" s="1"/>
  <c r="B523" i="4"/>
  <c r="H523" i="4" s="1"/>
  <c r="I523" i="4" s="1"/>
  <c r="B266" i="4"/>
  <c r="H266" i="4" s="1"/>
  <c r="I266" i="4" s="1"/>
  <c r="B374" i="4"/>
  <c r="H374" i="4" s="1"/>
  <c r="I374" i="4" s="1"/>
  <c r="J81" i="7"/>
  <c r="K81" i="7" s="1"/>
  <c r="P48" i="36"/>
  <c r="J7" i="12"/>
  <c r="J83" i="12"/>
  <c r="B216" i="4"/>
  <c r="H216" i="4" s="1"/>
  <c r="I216" i="4" s="1"/>
  <c r="B578" i="4"/>
  <c r="H578" i="4" s="1"/>
  <c r="I578" i="4" s="1"/>
  <c r="B331" i="4"/>
  <c r="H331" i="4" s="1"/>
  <c r="I331" i="4" s="1"/>
  <c r="B391" i="4"/>
  <c r="H391" i="4" s="1"/>
  <c r="I391" i="4" s="1"/>
  <c r="B463" i="4"/>
  <c r="H463" i="4" s="1"/>
  <c r="I463" i="4" s="1"/>
  <c r="B562" i="4"/>
  <c r="H562" i="4" s="1"/>
  <c r="I562" i="4" s="1"/>
  <c r="B613" i="4"/>
  <c r="H613" i="4" s="1"/>
  <c r="I613" i="4" s="1"/>
  <c r="B129" i="4"/>
  <c r="H129" i="4" s="1"/>
  <c r="I129" i="4" s="1"/>
  <c r="B177" i="4"/>
  <c r="H177" i="4" s="1"/>
  <c r="I177" i="4" s="1"/>
  <c r="B251" i="4"/>
  <c r="H251" i="4" s="1"/>
  <c r="I251" i="4" s="1"/>
  <c r="B413" i="4"/>
  <c r="H413" i="4" s="1"/>
  <c r="I413" i="4" s="1"/>
  <c r="B493" i="4"/>
  <c r="H493" i="4" s="1"/>
  <c r="I493" i="4" s="1"/>
  <c r="B704" i="4"/>
  <c r="H704" i="4" s="1"/>
  <c r="I704" i="4" s="1"/>
  <c r="B775" i="4"/>
  <c r="H775" i="4" s="1"/>
  <c r="I775" i="4" s="1"/>
  <c r="B119" i="4"/>
  <c r="H119" i="4" s="1"/>
  <c r="I119" i="4" s="1"/>
  <c r="B314" i="4"/>
  <c r="H314" i="4" s="1"/>
  <c r="I314" i="4" s="1"/>
  <c r="B379" i="4"/>
  <c r="H379" i="4" s="1"/>
  <c r="I379" i="4" s="1"/>
  <c r="B793" i="4"/>
  <c r="B623" i="4"/>
  <c r="H623" i="4" s="1"/>
  <c r="I623" i="4" s="1"/>
  <c r="B666" i="4"/>
  <c r="H666" i="4" s="1"/>
  <c r="I666" i="4" s="1"/>
  <c r="B38" i="4"/>
  <c r="H38" i="4" s="1"/>
  <c r="I38" i="4" s="1"/>
  <c r="B106" i="4"/>
  <c r="H106" i="4" s="1"/>
  <c r="I106" i="4" s="1"/>
  <c r="B151" i="4"/>
  <c r="H151" i="4" s="1"/>
  <c r="I151" i="4" s="1"/>
  <c r="B346" i="4"/>
  <c r="H346" i="4" s="1"/>
  <c r="I346" i="4" s="1"/>
  <c r="B401" i="4"/>
  <c r="H401" i="4" s="1"/>
  <c r="I401" i="4" s="1"/>
  <c r="D57" i="4"/>
  <c r="D613" i="4"/>
  <c r="D551" i="4"/>
  <c r="D463" i="4"/>
  <c r="D461" i="4" s="1"/>
  <c r="D805" i="4" s="1"/>
  <c r="D106" i="4"/>
  <c r="D346" i="4"/>
  <c r="D360" i="4"/>
  <c r="C289" i="4"/>
  <c r="D81" i="4"/>
  <c r="D6" i="4"/>
  <c r="D793" i="4" s="1"/>
  <c r="C68" i="4"/>
  <c r="C106" i="4"/>
  <c r="D302" i="4"/>
  <c r="D493" i="4"/>
  <c r="C360" i="4"/>
  <c r="C536" i="4"/>
  <c r="C23" i="4"/>
  <c r="C795" i="4" s="1"/>
  <c r="D177" i="4"/>
  <c r="D240" i="4"/>
  <c r="D289" i="4"/>
  <c r="D401" i="4"/>
  <c r="D413" i="4"/>
  <c r="D536" i="4"/>
  <c r="D629" i="4"/>
  <c r="D623" i="4" s="1"/>
  <c r="D621" i="4" s="1"/>
  <c r="D809" i="4" s="1"/>
  <c r="C57" i="4"/>
  <c r="D68" i="4"/>
  <c r="C346" i="4"/>
  <c r="C551" i="4"/>
  <c r="D731" i="4"/>
  <c r="D205" i="4"/>
  <c r="C463" i="4"/>
  <c r="C461" i="4" s="1"/>
  <c r="C805" i="4" s="1"/>
  <c r="D718" i="4"/>
  <c r="C81" i="4"/>
  <c r="D331" i="4"/>
  <c r="D684" i="4"/>
  <c r="D795" i="4"/>
  <c r="C166" i="4"/>
  <c r="C127" i="4" s="1"/>
  <c r="C798" i="4" s="1"/>
  <c r="C379" i="4"/>
  <c r="C800" i="4" s="1"/>
  <c r="D746" i="4"/>
  <c r="D812" i="4" s="1"/>
  <c r="B108" i="12"/>
  <c r="F108" i="12" s="1"/>
  <c r="D50" i="12"/>
  <c r="C100" i="12"/>
  <c r="B50" i="12"/>
  <c r="B27" i="12"/>
  <c r="H27" i="12" s="1"/>
  <c r="I27" i="12" s="1"/>
  <c r="B41" i="12"/>
  <c r="D100" i="12"/>
  <c r="D379" i="4"/>
  <c r="D800" i="4" s="1"/>
  <c r="C401" i="4"/>
  <c r="D523" i="4"/>
  <c r="C413" i="4"/>
  <c r="D562" i="4"/>
  <c r="D516" i="4"/>
  <c r="D437" i="4"/>
  <c r="D508" i="4"/>
  <c r="D666" i="4"/>
  <c r="B67" i="7"/>
  <c r="J32" i="7"/>
  <c r="K32" i="7" s="1"/>
  <c r="B17" i="7"/>
  <c r="B83" i="7"/>
  <c r="F6" i="12" l="1"/>
  <c r="F41" i="12"/>
  <c r="H41" i="12"/>
  <c r="I41" i="12" s="1"/>
  <c r="H108" i="12"/>
  <c r="I108" i="12" s="1"/>
  <c r="P50" i="36"/>
  <c r="P47" i="36" s="1"/>
  <c r="H50" i="12"/>
  <c r="I50" i="12" s="1"/>
  <c r="H6" i="12"/>
  <c r="I6" i="12" s="1"/>
  <c r="D119" i="4"/>
  <c r="J19" i="4"/>
  <c r="K19" i="4" s="1"/>
  <c r="J45" i="4"/>
  <c r="K45" i="4" s="1"/>
  <c r="J69" i="4"/>
  <c r="K69" i="4" s="1"/>
  <c r="J82" i="4"/>
  <c r="K82" i="4" s="1"/>
  <c r="J368" i="4"/>
  <c r="K368" i="4" s="1"/>
  <c r="J600" i="4"/>
  <c r="K600" i="4" s="1"/>
  <c r="J391" i="4"/>
  <c r="K391" i="4" s="1"/>
  <c r="J454" i="4"/>
  <c r="K454" i="4" s="1"/>
  <c r="J775" i="4"/>
  <c r="K775" i="4" s="1"/>
  <c r="J477" i="4"/>
  <c r="K477" i="4" s="1"/>
  <c r="J748" i="4"/>
  <c r="K748" i="4" s="1"/>
  <c r="J438" i="4"/>
  <c r="K438" i="4" s="1"/>
  <c r="J655" i="4"/>
  <c r="K655" i="4" s="1"/>
  <c r="F17" i="7"/>
  <c r="H17" i="7"/>
  <c r="I17" i="7" s="1"/>
  <c r="F62" i="7"/>
  <c r="J62" i="7" s="1"/>
  <c r="K62" i="7" s="1"/>
  <c r="H62" i="7"/>
  <c r="I62" i="7" s="1"/>
  <c r="F67" i="7"/>
  <c r="J67" i="7" s="1"/>
  <c r="K67" i="7" s="1"/>
  <c r="H67" i="7"/>
  <c r="I67" i="7" s="1"/>
  <c r="F42" i="7"/>
  <c r="J42" i="7" s="1"/>
  <c r="K42" i="7" s="1"/>
  <c r="H42" i="7"/>
  <c r="I42" i="7" s="1"/>
  <c r="F83" i="7"/>
  <c r="J83" i="7" s="1"/>
  <c r="K83" i="7" s="1"/>
  <c r="H83" i="7"/>
  <c r="I83" i="7" s="1"/>
  <c r="F29" i="7"/>
  <c r="H29" i="7"/>
  <c r="I29" i="7" s="1"/>
  <c r="F7" i="7"/>
  <c r="H7" i="7"/>
  <c r="I7" i="7" s="1"/>
  <c r="H11" i="7"/>
  <c r="I11" i="7" s="1"/>
  <c r="J8" i="7"/>
  <c r="K8" i="7" s="1"/>
  <c r="F77" i="7"/>
  <c r="J77" i="7" s="1"/>
  <c r="K77" i="7" s="1"/>
  <c r="F27" i="12"/>
  <c r="D5" i="12"/>
  <c r="F50" i="12"/>
  <c r="J50" i="12" s="1"/>
  <c r="K50" i="12" s="1"/>
  <c r="O10" i="36"/>
  <c r="Q10" i="36" s="1"/>
  <c r="G6" i="7"/>
  <c r="J10" i="7"/>
  <c r="K10" i="7" s="1"/>
  <c r="J29" i="7"/>
  <c r="K29" i="7" s="1"/>
  <c r="J7" i="7"/>
  <c r="K7" i="7" s="1"/>
  <c r="J684" i="4"/>
  <c r="K684" i="4" s="1"/>
  <c r="J401" i="4"/>
  <c r="K401" i="4" s="1"/>
  <c r="J331" i="4"/>
  <c r="K331" i="4" s="1"/>
  <c r="J229" i="4"/>
  <c r="K229" i="4" s="1"/>
  <c r="J623" i="4"/>
  <c r="K623" i="4" s="1"/>
  <c r="J129" i="4"/>
  <c r="K129" i="4" s="1"/>
  <c r="J195" i="4"/>
  <c r="K195" i="4" s="1"/>
  <c r="B796" i="4"/>
  <c r="H796" i="4" s="1"/>
  <c r="I796" i="4" s="1"/>
  <c r="J50" i="4"/>
  <c r="K50" i="4" s="1"/>
  <c r="J289" i="4"/>
  <c r="K289" i="4" s="1"/>
  <c r="J379" i="4"/>
  <c r="K379" i="4" s="1"/>
  <c r="J613" i="4"/>
  <c r="K613" i="4" s="1"/>
  <c r="J585" i="4"/>
  <c r="K585" i="4" s="1"/>
  <c r="B437" i="4"/>
  <c r="H437" i="4" s="1"/>
  <c r="I437" i="4" s="1"/>
  <c r="J768" i="4"/>
  <c r="K768" i="4" s="1"/>
  <c r="J629" i="4"/>
  <c r="K629" i="4" s="1"/>
  <c r="J314" i="4"/>
  <c r="K314" i="4" s="1"/>
  <c r="J562" i="4"/>
  <c r="K562" i="4" s="1"/>
  <c r="J374" i="4"/>
  <c r="K374" i="4" s="1"/>
  <c r="J523" i="4"/>
  <c r="K523" i="4" s="1"/>
  <c r="J240" i="4"/>
  <c r="K240" i="4" s="1"/>
  <c r="J536" i="4"/>
  <c r="K536" i="4" s="1"/>
  <c r="J763" i="4"/>
  <c r="K763" i="4" s="1"/>
  <c r="J483" i="4"/>
  <c r="K483" i="4" s="1"/>
  <c r="J119" i="4"/>
  <c r="K119" i="4" s="1"/>
  <c r="J463" i="4"/>
  <c r="K463" i="4" s="1"/>
  <c r="J266" i="4"/>
  <c r="K266" i="4" s="1"/>
  <c r="J606" i="4"/>
  <c r="K606" i="4" s="1"/>
  <c r="J279" i="4"/>
  <c r="K279" i="4" s="1"/>
  <c r="B13" i="4"/>
  <c r="H13" i="4" s="1"/>
  <c r="I13" i="4" s="1"/>
  <c r="J15" i="4"/>
  <c r="K15" i="4" s="1"/>
  <c r="J731" i="4"/>
  <c r="K731" i="4" s="1"/>
  <c r="J205" i="4"/>
  <c r="K205" i="4" s="1"/>
  <c r="J551" i="4"/>
  <c r="K551" i="4" s="1"/>
  <c r="J166" i="4"/>
  <c r="K166" i="4" s="1"/>
  <c r="J718" i="4"/>
  <c r="K718" i="4" s="1"/>
  <c r="F6" i="4"/>
  <c r="J346" i="4"/>
  <c r="K346" i="4" s="1"/>
  <c r="J704" i="4"/>
  <c r="K704" i="4" s="1"/>
  <c r="J578" i="4"/>
  <c r="K578" i="4" s="1"/>
  <c r="J428" i="4"/>
  <c r="K428" i="4" s="1"/>
  <c r="J94" i="4"/>
  <c r="K94" i="4" s="1"/>
  <c r="J302" i="4"/>
  <c r="K302" i="4" s="1"/>
  <c r="J151" i="4"/>
  <c r="K151" i="4" s="1"/>
  <c r="J493" i="4"/>
  <c r="K493" i="4" s="1"/>
  <c r="J216" i="4"/>
  <c r="K216" i="4" s="1"/>
  <c r="J68" i="4"/>
  <c r="K68" i="4" s="1"/>
  <c r="J98" i="4"/>
  <c r="K98" i="4" s="1"/>
  <c r="J160" i="4"/>
  <c r="K160" i="4" s="1"/>
  <c r="J783" i="4"/>
  <c r="K783" i="4" s="1"/>
  <c r="J262" i="4"/>
  <c r="K262" i="4" s="1"/>
  <c r="J106" i="4"/>
  <c r="K106" i="4" s="1"/>
  <c r="J413" i="4"/>
  <c r="K413" i="4" s="1"/>
  <c r="J186" i="4"/>
  <c r="K186" i="4" s="1"/>
  <c r="J25" i="4"/>
  <c r="K25" i="4" s="1"/>
  <c r="J694" i="4"/>
  <c r="K694" i="4" s="1"/>
  <c r="J61" i="4"/>
  <c r="K61" i="4" s="1"/>
  <c r="J360" i="4"/>
  <c r="K360" i="4" s="1"/>
  <c r="J38" i="4"/>
  <c r="K38" i="4" s="1"/>
  <c r="J251" i="4"/>
  <c r="K251" i="4" s="1"/>
  <c r="J140" i="4"/>
  <c r="K140" i="4" s="1"/>
  <c r="J639" i="4"/>
  <c r="K639" i="4" s="1"/>
  <c r="J516" i="4"/>
  <c r="K516" i="4" s="1"/>
  <c r="J508" i="4"/>
  <c r="K508" i="4" s="1"/>
  <c r="J666" i="4"/>
  <c r="K666" i="4" s="1"/>
  <c r="J177" i="4"/>
  <c r="K177" i="4" s="1"/>
  <c r="J594" i="4"/>
  <c r="K594" i="4" s="1"/>
  <c r="J108" i="12"/>
  <c r="B716" i="4"/>
  <c r="H716" i="4" s="1"/>
  <c r="I716" i="4" s="1"/>
  <c r="J11" i="7"/>
  <c r="K11" i="7" s="1"/>
  <c r="D94" i="7"/>
  <c r="C49" i="12"/>
  <c r="C131" i="12" s="1"/>
  <c r="B57" i="4"/>
  <c r="H57" i="4" s="1"/>
  <c r="I57" i="4" s="1"/>
  <c r="B81" i="4"/>
  <c r="H81" i="4" s="1"/>
  <c r="I81" i="4" s="1"/>
  <c r="B6" i="7"/>
  <c r="F6" i="7" s="1"/>
  <c r="B534" i="4"/>
  <c r="H534" i="4" s="1"/>
  <c r="I534" i="4" s="1"/>
  <c r="J18" i="7"/>
  <c r="K18" i="7" s="1"/>
  <c r="B35" i="7"/>
  <c r="J29" i="12"/>
  <c r="J102" i="12"/>
  <c r="Q48" i="36"/>
  <c r="R48" i="36" s="1"/>
  <c r="S48" i="36" s="1"/>
  <c r="J97" i="12"/>
  <c r="J52" i="12"/>
  <c r="K52" i="12" s="1"/>
  <c r="K83" i="12"/>
  <c r="J75" i="12"/>
  <c r="J71" i="12"/>
  <c r="J126" i="12"/>
  <c r="K7" i="12"/>
  <c r="B491" i="4"/>
  <c r="H491" i="4" s="1"/>
  <c r="I491" i="4" s="1"/>
  <c r="B801" i="4"/>
  <c r="H801" i="4" s="1"/>
  <c r="I801" i="4" s="1"/>
  <c r="B664" i="4"/>
  <c r="H664" i="4" s="1"/>
  <c r="I664" i="4" s="1"/>
  <c r="B800" i="4"/>
  <c r="H800" i="4" s="1"/>
  <c r="I800" i="4" s="1"/>
  <c r="B621" i="4"/>
  <c r="H621" i="4" s="1"/>
  <c r="I621" i="4" s="1"/>
  <c r="B560" i="4"/>
  <c r="H560" i="4" s="1"/>
  <c r="I560" i="4" s="1"/>
  <c r="B804" i="4"/>
  <c r="H804" i="4" s="1"/>
  <c r="I804" i="4" s="1"/>
  <c r="B461" i="4"/>
  <c r="H461" i="4" s="1"/>
  <c r="I461" i="4" s="1"/>
  <c r="B399" i="4"/>
  <c r="H399" i="4" s="1"/>
  <c r="I399" i="4" s="1"/>
  <c r="B746" i="4"/>
  <c r="H746" i="4" s="1"/>
  <c r="I746" i="4" s="1"/>
  <c r="J78" i="7"/>
  <c r="K78" i="7" s="1"/>
  <c r="D794" i="4"/>
  <c r="G100" i="12"/>
  <c r="J41" i="12"/>
  <c r="K41" i="12" s="1"/>
  <c r="G5" i="12"/>
  <c r="B100" i="12"/>
  <c r="F100" i="12" s="1"/>
  <c r="D49" i="12"/>
  <c r="B127" i="4"/>
  <c r="H127" i="4" s="1"/>
  <c r="I127" i="4" s="1"/>
  <c r="B23" i="4"/>
  <c r="H23" i="4" s="1"/>
  <c r="I23" i="4" s="1"/>
  <c r="B277" i="4"/>
  <c r="H277" i="4" s="1"/>
  <c r="I277" i="4" s="1"/>
  <c r="D560" i="4"/>
  <c r="D808" i="4" s="1"/>
  <c r="D534" i="4"/>
  <c r="D807" i="4" s="1"/>
  <c r="D127" i="4"/>
  <c r="D798" i="4" s="1"/>
  <c r="C277" i="4"/>
  <c r="C799" i="4" s="1"/>
  <c r="D277" i="4"/>
  <c r="D799" i="4" s="1"/>
  <c r="D55" i="4"/>
  <c r="D797" i="4" s="1"/>
  <c r="C534" i="4"/>
  <c r="C807" i="4" s="1"/>
  <c r="D491" i="4"/>
  <c r="D806" i="4" s="1"/>
  <c r="D664" i="4"/>
  <c r="D810" i="4" s="1"/>
  <c r="C55" i="4"/>
  <c r="C797" i="4" s="1"/>
  <c r="D716" i="4"/>
  <c r="D811" i="4" s="1"/>
  <c r="B5" i="12"/>
  <c r="F5" i="12" s="1"/>
  <c r="B40" i="12"/>
  <c r="D399" i="4"/>
  <c r="D802" i="4" s="1"/>
  <c r="C399" i="4"/>
  <c r="J17" i="7"/>
  <c r="K17" i="7" s="1"/>
  <c r="B13" i="7"/>
  <c r="H100" i="12" l="1"/>
  <c r="I100" i="12" s="1"/>
  <c r="D131" i="12"/>
  <c r="H5" i="12"/>
  <c r="I5" i="12" s="1"/>
  <c r="F40" i="12"/>
  <c r="H40" i="12"/>
  <c r="I40" i="12" s="1"/>
  <c r="J23" i="4"/>
  <c r="K23" i="4" s="1"/>
  <c r="J800" i="4"/>
  <c r="K800" i="4" s="1"/>
  <c r="J746" i="4"/>
  <c r="K746" i="4" s="1"/>
  <c r="J437" i="4"/>
  <c r="K437" i="4" s="1"/>
  <c r="J801" i="4"/>
  <c r="K801" i="4" s="1"/>
  <c r="J621" i="4"/>
  <c r="K621" i="4" s="1"/>
  <c r="J461" i="4"/>
  <c r="K461" i="4" s="1"/>
  <c r="J796" i="4"/>
  <c r="K796" i="4" s="1"/>
  <c r="F13" i="7"/>
  <c r="H13" i="7"/>
  <c r="I13" i="7" s="1"/>
  <c r="F35" i="7"/>
  <c r="H35" i="7"/>
  <c r="I35" i="7" s="1"/>
  <c r="G94" i="7"/>
  <c r="H6" i="7"/>
  <c r="I6" i="7" s="1"/>
  <c r="O8" i="36"/>
  <c r="Q8" i="36" s="1"/>
  <c r="T10" i="36"/>
  <c r="U10" i="36" s="1"/>
  <c r="R10" i="36"/>
  <c r="S10" i="36" s="1"/>
  <c r="J35" i="7"/>
  <c r="K35" i="7" s="1"/>
  <c r="J399" i="4"/>
  <c r="K399" i="4" s="1"/>
  <c r="J560" i="4"/>
  <c r="K560" i="4" s="1"/>
  <c r="J127" i="4"/>
  <c r="K127" i="4" s="1"/>
  <c r="J81" i="4"/>
  <c r="K81" i="4" s="1"/>
  <c r="J491" i="4"/>
  <c r="K491" i="4" s="1"/>
  <c r="J57" i="4"/>
  <c r="K57" i="4" s="1"/>
  <c r="J716" i="4"/>
  <c r="K716" i="4" s="1"/>
  <c r="B794" i="4"/>
  <c r="H794" i="4" s="1"/>
  <c r="I794" i="4" s="1"/>
  <c r="J13" i="4"/>
  <c r="K13" i="4" s="1"/>
  <c r="B807" i="4"/>
  <c r="H807" i="4" s="1"/>
  <c r="I807" i="4" s="1"/>
  <c r="J534" i="4"/>
  <c r="K534" i="4" s="1"/>
  <c r="J277" i="4"/>
  <c r="K277" i="4" s="1"/>
  <c r="J804" i="4"/>
  <c r="K804" i="4" s="1"/>
  <c r="J664" i="4"/>
  <c r="K664" i="4" s="1"/>
  <c r="B811" i="4"/>
  <c r="H811" i="4" s="1"/>
  <c r="I811" i="4" s="1"/>
  <c r="O50" i="36"/>
  <c r="B55" i="4"/>
  <c r="H55" i="4" s="1"/>
  <c r="I55" i="4" s="1"/>
  <c r="K29" i="12"/>
  <c r="J27" i="12"/>
  <c r="K27" i="12" s="1"/>
  <c r="K71" i="12"/>
  <c r="K75" i="12"/>
  <c r="K108" i="12"/>
  <c r="T48" i="36"/>
  <c r="U48" i="36" s="1"/>
  <c r="J6" i="12"/>
  <c r="K6" i="12" s="1"/>
  <c r="B809" i="4"/>
  <c r="H809" i="4" s="1"/>
  <c r="I809" i="4" s="1"/>
  <c r="B808" i="4"/>
  <c r="H808" i="4" s="1"/>
  <c r="I808" i="4" s="1"/>
  <c r="B805" i="4"/>
  <c r="H805" i="4" s="1"/>
  <c r="I805" i="4" s="1"/>
  <c r="B795" i="4"/>
  <c r="H795" i="4" s="1"/>
  <c r="I795" i="4" s="1"/>
  <c r="B810" i="4"/>
  <c r="H810" i="4" s="1"/>
  <c r="I810" i="4" s="1"/>
  <c r="B806" i="4"/>
  <c r="H806" i="4" s="1"/>
  <c r="I806" i="4" s="1"/>
  <c r="B799" i="4"/>
  <c r="H799" i="4" s="1"/>
  <c r="I799" i="4" s="1"/>
  <c r="B812" i="4"/>
  <c r="H812" i="4" s="1"/>
  <c r="I812" i="4" s="1"/>
  <c r="B802" i="4"/>
  <c r="H802" i="4" s="1"/>
  <c r="I802" i="4" s="1"/>
  <c r="G49" i="12"/>
  <c r="H49" i="12" s="1"/>
  <c r="I49" i="12" s="1"/>
  <c r="B798" i="4"/>
  <c r="H798" i="4" s="1"/>
  <c r="I798" i="4" s="1"/>
  <c r="J100" i="12"/>
  <c r="K100" i="12" s="1"/>
  <c r="J40" i="12"/>
  <c r="K40" i="12" s="1"/>
  <c r="J5" i="12"/>
  <c r="B49" i="12"/>
  <c r="F49" i="12" s="1"/>
  <c r="D813" i="4"/>
  <c r="D790" i="4"/>
  <c r="J54" i="36" s="1"/>
  <c r="C802" i="4"/>
  <c r="C813" i="4" s="1"/>
  <c r="C790" i="4"/>
  <c r="J13" i="7"/>
  <c r="K13" i="7" s="1"/>
  <c r="B94" i="7"/>
  <c r="F94" i="7" s="1"/>
  <c r="J799" i="4" l="1"/>
  <c r="K799" i="4" s="1"/>
  <c r="J798" i="4"/>
  <c r="K798" i="4" s="1"/>
  <c r="J805" i="4"/>
  <c r="K805" i="4" s="1"/>
  <c r="J795" i="4"/>
  <c r="K795" i="4" s="1"/>
  <c r="J808" i="4"/>
  <c r="K808" i="4" s="1"/>
  <c r="J794" i="4"/>
  <c r="K794" i="4" s="1"/>
  <c r="J811" i="4"/>
  <c r="K811" i="4" s="1"/>
  <c r="J807" i="4"/>
  <c r="K807" i="4" s="1"/>
  <c r="J812" i="4"/>
  <c r="K812" i="4" s="1"/>
  <c r="H94" i="7"/>
  <c r="I94" i="7" s="1"/>
  <c r="O6" i="36"/>
  <c r="O45" i="36" s="1"/>
  <c r="T8" i="36"/>
  <c r="U8" i="36" s="1"/>
  <c r="R8" i="36"/>
  <c r="S8" i="36" s="1"/>
  <c r="O47" i="36"/>
  <c r="Q50" i="36"/>
  <c r="G131" i="12"/>
  <c r="J49" i="12"/>
  <c r="K49" i="12" s="1"/>
  <c r="J806" i="4"/>
  <c r="K806" i="4" s="1"/>
  <c r="J55" i="4"/>
  <c r="K55" i="4" s="1"/>
  <c r="J809" i="4"/>
  <c r="K809" i="4" s="1"/>
  <c r="J810" i="4"/>
  <c r="K810" i="4" s="1"/>
  <c r="B790" i="4"/>
  <c r="B797" i="4"/>
  <c r="H797" i="4" s="1"/>
  <c r="I797" i="4" s="1"/>
  <c r="J802" i="4"/>
  <c r="K802" i="4" s="1"/>
  <c r="J94" i="7"/>
  <c r="K94" i="7" s="1"/>
  <c r="B131" i="12"/>
  <c r="Q6" i="36" l="1"/>
  <c r="H131" i="12"/>
  <c r="I131" i="12" s="1"/>
  <c r="J797" i="4"/>
  <c r="K797" i="4" s="1"/>
  <c r="T50" i="36"/>
  <c r="U50" i="36" s="1"/>
  <c r="R50" i="36"/>
  <c r="S50" i="36" s="1"/>
  <c r="T6" i="36"/>
  <c r="U6" i="36" s="1"/>
  <c r="R6" i="36"/>
  <c r="S6" i="36" s="1"/>
  <c r="Q47" i="36"/>
  <c r="O53" i="36"/>
  <c r="B813" i="4"/>
  <c r="C15" i="15" s="1"/>
  <c r="F131" i="12"/>
  <c r="D17" i="15"/>
  <c r="D8" i="15"/>
  <c r="C4" i="15"/>
  <c r="D3" i="15"/>
  <c r="D15" i="15"/>
  <c r="D13" i="15"/>
  <c r="C11" i="15"/>
  <c r="D11" i="15"/>
  <c r="D10" i="15" l="1"/>
  <c r="C13" i="15"/>
  <c r="D5" i="15"/>
  <c r="D12" i="15"/>
  <c r="D7" i="15"/>
  <c r="C9" i="15"/>
  <c r="C12" i="15"/>
  <c r="C7" i="15"/>
  <c r="C6" i="15"/>
  <c r="D4" i="15"/>
  <c r="N54" i="36"/>
  <c r="C5" i="15"/>
  <c r="C8" i="15"/>
  <c r="C16" i="15"/>
  <c r="D2" i="15"/>
  <c r="D14" i="15"/>
  <c r="E3" i="15"/>
  <c r="E13" i="15"/>
  <c r="L23" i="36" s="1"/>
  <c r="M23" i="36" s="1"/>
  <c r="C14" i="15"/>
  <c r="C17" i="15"/>
  <c r="C3" i="15"/>
  <c r="D16" i="15"/>
  <c r="E2" i="15"/>
  <c r="E7" i="15"/>
  <c r="E8" i="15"/>
  <c r="E11" i="15"/>
  <c r="E17" i="15"/>
  <c r="L35" i="36" s="1"/>
  <c r="E5" i="15"/>
  <c r="E12" i="15"/>
  <c r="E6" i="15"/>
  <c r="E16" i="15"/>
  <c r="E10" i="15"/>
  <c r="C10" i="15"/>
  <c r="D6" i="15"/>
  <c r="E15" i="15"/>
  <c r="L21" i="36" s="1"/>
  <c r="M21" i="36" s="1"/>
  <c r="D9" i="15"/>
  <c r="C2" i="15"/>
  <c r="E9" i="15"/>
  <c r="E4" i="15"/>
  <c r="E14" i="15"/>
  <c r="L22" i="36" s="1"/>
  <c r="M22" i="36" s="1"/>
  <c r="T47" i="36"/>
  <c r="U47" i="36" s="1"/>
  <c r="R47" i="36"/>
  <c r="S47" i="36" s="1"/>
  <c r="F12" i="15"/>
  <c r="J131" i="12"/>
  <c r="K5" i="12"/>
  <c r="J6" i="7"/>
  <c r="K6" i="7" s="1"/>
  <c r="K131" i="12" l="1"/>
  <c r="F4" i="15"/>
  <c r="F2" i="15"/>
  <c r="F13" i="15"/>
  <c r="F16" i="15"/>
  <c r="F6" i="15"/>
  <c r="F15" i="15"/>
  <c r="F11" i="15"/>
  <c r="F5" i="15"/>
  <c r="F8" i="15"/>
  <c r="F14" i="15"/>
  <c r="F7" i="15"/>
  <c r="H12" i="15"/>
  <c r="F9" i="15"/>
  <c r="F3" i="15"/>
  <c r="C1" i="15"/>
  <c r="C18" i="15" s="1"/>
  <c r="C19" i="15" s="1"/>
  <c r="D1" i="15"/>
  <c r="D18" i="15" s="1"/>
  <c r="D19" i="15" s="1"/>
  <c r="L33" i="36"/>
  <c r="M33" i="36" s="1"/>
  <c r="M35" i="36"/>
  <c r="F17" i="15"/>
  <c r="F10" i="15"/>
  <c r="E1" i="15"/>
  <c r="L20" i="36" s="1"/>
  <c r="L27" i="36"/>
  <c r="H11" i="15"/>
  <c r="H16" i="15"/>
  <c r="F1" i="15" l="1"/>
  <c r="F18" i="15" s="1"/>
  <c r="F19" i="15" s="1"/>
  <c r="E18" i="15"/>
  <c r="E19" i="15" s="1"/>
  <c r="L25" i="36"/>
  <c r="M25" i="36" s="1"/>
  <c r="M27" i="36"/>
  <c r="L19" i="36"/>
  <c r="M20" i="36"/>
  <c r="M19" i="36" l="1"/>
  <c r="L45" i="36"/>
  <c r="L53" i="36" l="1"/>
  <c r="M53" i="36" s="1"/>
  <c r="M45" i="36"/>
  <c r="B14" i="15" l="1"/>
  <c r="B9" i="15"/>
  <c r="B5" i="15"/>
  <c r="B12" i="15" l="1"/>
  <c r="B10" i="15"/>
  <c r="B4" i="15"/>
  <c r="B3" i="15"/>
  <c r="B2" i="15"/>
  <c r="B16" i="15"/>
  <c r="B15" i="15"/>
  <c r="B7" i="15"/>
  <c r="B11" i="15"/>
  <c r="B6" i="15"/>
  <c r="B13" i="15"/>
  <c r="B8" i="15"/>
  <c r="B17" i="15"/>
  <c r="B1" i="15" l="1"/>
  <c r="B18" i="15" s="1"/>
  <c r="B19" i="15" s="1"/>
  <c r="D21" i="36" l="1"/>
  <c r="D23" i="36"/>
  <c r="D22" i="36" l="1"/>
  <c r="C25" i="36"/>
  <c r="D25" i="36" s="1"/>
  <c r="D27" i="36"/>
  <c r="J21" i="36"/>
  <c r="J23" i="36"/>
  <c r="J22" i="36"/>
  <c r="N22" i="36" l="1"/>
  <c r="N21" i="36"/>
  <c r="N23" i="36"/>
  <c r="C33" i="36"/>
  <c r="D33" i="36" s="1"/>
  <c r="D35" i="36"/>
  <c r="I33" i="36"/>
  <c r="J33" i="36" s="1"/>
  <c r="J35" i="36"/>
  <c r="J27" i="36"/>
  <c r="N27" i="36" s="1"/>
  <c r="I25" i="36"/>
  <c r="J25" i="36" s="1"/>
  <c r="J20" i="36"/>
  <c r="I19" i="36"/>
  <c r="N33" i="36" l="1"/>
  <c r="N35" i="36"/>
  <c r="N25" i="36"/>
  <c r="I45" i="36"/>
  <c r="J19" i="36"/>
  <c r="D20" i="36"/>
  <c r="C19" i="36"/>
  <c r="N20" i="36" l="1"/>
  <c r="D19" i="36"/>
  <c r="C45" i="36"/>
  <c r="I53" i="36"/>
  <c r="J53" i="36" s="1"/>
  <c r="J45" i="36"/>
  <c r="N19" i="36" l="1"/>
  <c r="C53" i="36"/>
  <c r="D53" i="36" s="1"/>
  <c r="D45" i="36"/>
  <c r="N45" i="36" l="1"/>
  <c r="N53" i="36"/>
  <c r="H9" i="15" l="1"/>
  <c r="H6" i="15" l="1"/>
  <c r="H7" i="15" l="1"/>
  <c r="H3" i="15" l="1"/>
  <c r="H4" i="15" l="1"/>
  <c r="H8" i="15" l="1"/>
  <c r="H2" i="15" l="1"/>
  <c r="H5" i="15" l="1"/>
  <c r="H14" i="15" l="1"/>
  <c r="H17" i="15" l="1"/>
  <c r="H10" i="15" l="1"/>
  <c r="H1" i="15" s="1"/>
  <c r="H13" i="15" l="1"/>
  <c r="G6" i="4" l="1"/>
  <c r="H15" i="15"/>
  <c r="H18" i="15" s="1"/>
  <c r="G793" i="4" l="1"/>
  <c r="G790" i="4"/>
  <c r="H6" i="4"/>
  <c r="I6" i="4" s="1"/>
  <c r="J6" i="4"/>
  <c r="K6" i="4" s="1"/>
  <c r="J790" i="4" l="1"/>
  <c r="K790" i="4"/>
  <c r="H790" i="4"/>
  <c r="I790" i="4" s="1"/>
  <c r="J793" i="4"/>
  <c r="K793" i="4" s="1"/>
  <c r="H793" i="4"/>
  <c r="I793" i="4" s="1"/>
  <c r="Q54" i="36"/>
  <c r="G813" i="4"/>
  <c r="J813" i="4" l="1"/>
  <c r="K813" i="4" s="1"/>
  <c r="H813" i="4"/>
  <c r="I813" i="4" s="1"/>
  <c r="G10" i="15"/>
  <c r="G7" i="15"/>
  <c r="G8" i="15"/>
  <c r="G6" i="15"/>
  <c r="G17" i="15"/>
  <c r="P35" i="36" s="1"/>
  <c r="G4" i="15"/>
  <c r="G16" i="15"/>
  <c r="G13" i="15"/>
  <c r="P23" i="36" s="1"/>
  <c r="Q23" i="36" s="1"/>
  <c r="G14" i="15"/>
  <c r="P22" i="36" s="1"/>
  <c r="Q22" i="36" s="1"/>
  <c r="G12" i="15"/>
  <c r="P27" i="36" s="1"/>
  <c r="Q27" i="36" s="1"/>
  <c r="G3" i="15"/>
  <c r="G2" i="15"/>
  <c r="G9" i="15"/>
  <c r="G15" i="15"/>
  <c r="P21" i="36" s="1"/>
  <c r="Q21" i="36" s="1"/>
  <c r="G5" i="15"/>
  <c r="G11" i="15"/>
  <c r="O1857" i="17" l="1"/>
  <c r="P1857" i="17" s="1"/>
  <c r="M1857" i="17"/>
  <c r="N1857" i="17" s="1"/>
  <c r="O1854" i="17"/>
  <c r="P1854" i="17" s="1"/>
  <c r="M1854" i="17"/>
  <c r="N1854" i="17" s="1"/>
  <c r="M1856" i="17"/>
  <c r="N1856" i="17" s="1"/>
  <c r="O1856" i="17"/>
  <c r="P1856" i="17" s="1"/>
  <c r="O1853" i="17"/>
  <c r="P1853" i="17" s="1"/>
  <c r="M1853" i="17"/>
  <c r="N1853" i="17" s="1"/>
  <c r="O1858" i="17"/>
  <c r="P1858" i="17" s="1"/>
  <c r="M1858" i="17"/>
  <c r="N1858" i="17" s="1"/>
  <c r="O1850" i="17"/>
  <c r="P1850" i="17" s="1"/>
  <c r="M1850" i="17"/>
  <c r="N1850" i="17" s="1"/>
  <c r="O1849" i="17"/>
  <c r="P1849" i="17" s="1"/>
  <c r="M1849" i="17"/>
  <c r="N1849" i="17" s="1"/>
  <c r="O1855" i="17"/>
  <c r="P1855" i="17" s="1"/>
  <c r="M1855" i="17"/>
  <c r="N1855" i="17" s="1"/>
  <c r="M1852" i="17"/>
  <c r="N1852" i="17" s="1"/>
  <c r="O1852" i="17"/>
  <c r="P1852" i="17" s="1"/>
  <c r="H19" i="15"/>
  <c r="P25" i="36"/>
  <c r="Q25" i="36" s="1"/>
  <c r="T25" i="36" s="1"/>
  <c r="U25" i="36" s="1"/>
  <c r="R22" i="36"/>
  <c r="S22" i="36" s="1"/>
  <c r="T22" i="36"/>
  <c r="U22" i="36" s="1"/>
  <c r="R23" i="36"/>
  <c r="S23" i="36" s="1"/>
  <c r="T23" i="36"/>
  <c r="U23" i="36" s="1"/>
  <c r="T21" i="36"/>
  <c r="U21" i="36" s="1"/>
  <c r="R21" i="36"/>
  <c r="S21" i="36" s="1"/>
  <c r="Q35" i="36"/>
  <c r="P33" i="36"/>
  <c r="Q33" i="36" s="1"/>
  <c r="G1" i="15"/>
  <c r="P20" i="36" s="1"/>
  <c r="R27" i="36"/>
  <c r="S27" i="36" s="1"/>
  <c r="T27" i="36"/>
  <c r="U27" i="36" s="1"/>
  <c r="R25" i="36" l="1"/>
  <c r="S25" i="36" s="1"/>
  <c r="R35" i="36"/>
  <c r="S35" i="36" s="1"/>
  <c r="T35" i="36"/>
  <c r="U35" i="36" s="1"/>
  <c r="Q20" i="36"/>
  <c r="P19" i="36"/>
  <c r="R33" i="36"/>
  <c r="S33" i="36" s="1"/>
  <c r="T33" i="36"/>
  <c r="U33" i="36" s="1"/>
  <c r="G18" i="15"/>
  <c r="G19" i="15" s="1"/>
  <c r="R20" i="36" l="1"/>
  <c r="S20" i="36" s="1"/>
  <c r="T20" i="36"/>
  <c r="U20" i="36" s="1"/>
  <c r="Q19" i="36"/>
  <c r="P45" i="36"/>
  <c r="P53" i="36" l="1"/>
  <c r="Q53" i="36" s="1"/>
  <c r="Q45" i="36"/>
  <c r="T19" i="36"/>
  <c r="U19" i="36" s="1"/>
  <c r="R19" i="36"/>
  <c r="S19" i="36" s="1"/>
  <c r="T45" i="36" l="1"/>
  <c r="U45" i="36" s="1"/>
  <c r="V45" i="36"/>
  <c r="R45" i="36"/>
  <c r="S45" i="36" s="1"/>
  <c r="V19" i="36"/>
  <c r="V36" i="36"/>
  <c r="V52" i="36"/>
  <c r="V32" i="36"/>
  <c r="T53" i="36"/>
  <c r="U53" i="36" s="1"/>
  <c r="V17" i="36"/>
  <c r="V16" i="36"/>
  <c r="V25" i="36"/>
  <c r="V38" i="36"/>
  <c r="V6" i="36"/>
  <c r="R53" i="36"/>
  <c r="S53" i="36" s="1"/>
  <c r="V15" i="36"/>
  <c r="V11" i="36"/>
  <c r="V37" i="36"/>
  <c r="V23" i="36"/>
  <c r="V44" i="36"/>
  <c r="V51" i="36"/>
  <c r="V50" i="36"/>
  <c r="V41" i="36"/>
  <c r="V47" i="36"/>
  <c r="V49" i="36"/>
  <c r="V21" i="36"/>
  <c r="V18" i="36"/>
  <c r="V22" i="36"/>
  <c r="V48" i="36"/>
  <c r="V7" i="36"/>
  <c r="V46" i="36"/>
  <c r="V30" i="36"/>
  <c r="V8" i="36"/>
  <c r="V24" i="36"/>
  <c r="V53" i="36"/>
  <c r="V35" i="36"/>
  <c r="V13" i="36"/>
  <c r="V27" i="36"/>
  <c r="V43" i="36"/>
  <c r="V20" i="36"/>
  <c r="V29" i="36"/>
  <c r="V34" i="36"/>
  <c r="V9" i="36"/>
  <c r="V39" i="36"/>
  <c r="V31" i="36"/>
  <c r="V33" i="36"/>
  <c r="V26" i="36"/>
  <c r="V14" i="36"/>
  <c r="V40" i="36"/>
  <c r="V42" i="36"/>
  <c r="V10" i="36"/>
  <c r="V28" i="36"/>
  <c r="V12" i="36"/>
</calcChain>
</file>

<file path=xl/sharedStrings.xml><?xml version="1.0" encoding="utf-8"?>
<sst xmlns="http://schemas.openxmlformats.org/spreadsheetml/2006/main" count="3836" uniqueCount="1284">
  <si>
    <t>toetused riigilt ja muudelt institutsioonidelt</t>
  </si>
  <si>
    <t>TOETUSED</t>
  </si>
  <si>
    <t>investeeringuteks</t>
  </si>
  <si>
    <t>Välisrahastus kokku</t>
  </si>
  <si>
    <t>Toetused kokku</t>
  </si>
  <si>
    <r>
      <t xml:space="preserve">sh </t>
    </r>
    <r>
      <rPr>
        <u/>
        <sz val="10"/>
        <rFont val="Arial"/>
        <family val="2"/>
        <charset val="186"/>
      </rPr>
      <t>tegevuskuludeks</t>
    </r>
  </si>
  <si>
    <t>Sunniraha</t>
  </si>
  <si>
    <t>Muud erakorralised tulud</t>
  </si>
  <si>
    <t>Müüdud vara jääkmaksumus</t>
  </si>
  <si>
    <t>Linnavolikogu Kantselei</t>
  </si>
  <si>
    <t>KOKKU OMATULUD</t>
  </si>
  <si>
    <t>Tulud majandustegevusest</t>
  </si>
  <si>
    <t>Võlalt arvestatud intressitulu</t>
  </si>
  <si>
    <t>KOKKU</t>
  </si>
  <si>
    <t>€</t>
  </si>
  <si>
    <t>Riiklikud maksud</t>
  </si>
  <si>
    <t>Kohalikud maksud</t>
  </si>
  <si>
    <t>Lõivud</t>
  </si>
  <si>
    <t>Muud tulud</t>
  </si>
  <si>
    <t>Finantstulu</t>
  </si>
  <si>
    <t>Vara müügi kulud</t>
  </si>
  <si>
    <t>Muud tulud varalt</t>
  </si>
  <si>
    <t>Dividendid</t>
  </si>
  <si>
    <t>Toetused riigilt ja muudelt institutsioonidelt</t>
  </si>
  <si>
    <t>Laenude võtmine</t>
  </si>
  <si>
    <t>Linnakassa</t>
  </si>
  <si>
    <t>Üksikisiku tulumaks</t>
  </si>
  <si>
    <t>Maamaks</t>
  </si>
  <si>
    <t>Reklaamimaks</t>
  </si>
  <si>
    <t>Parkimistasu</t>
  </si>
  <si>
    <t>Trahvid</t>
  </si>
  <si>
    <t>Tulu finantsvara investeerimisest</t>
  </si>
  <si>
    <t>Kasum vara müügist</t>
  </si>
  <si>
    <t>välisrahastus</t>
  </si>
  <si>
    <t>LINNAKASSA TULUD</t>
  </si>
  <si>
    <t>Transpordiamet</t>
  </si>
  <si>
    <t>Linnaplaneerimise Amet</t>
  </si>
  <si>
    <t>Hoonestusõiguse tasu</t>
  </si>
  <si>
    <t>Linnavaraamet</t>
  </si>
  <si>
    <t>Kasutusõiguse tasu</t>
  </si>
  <si>
    <t>Munitsipaalpolitsei Amet</t>
  </si>
  <si>
    <t>Tulu vara müügist</t>
  </si>
  <si>
    <t>Võlalt arvestatud tulu</t>
  </si>
  <si>
    <t xml:space="preserve">KULUDE EELARVE </t>
  </si>
  <si>
    <t xml:space="preserve">Katteallikad </t>
  </si>
  <si>
    <t>sh omatulud</t>
  </si>
  <si>
    <t>linnakassa</t>
  </si>
  <si>
    <t>sellest töötasu</t>
  </si>
  <si>
    <t>Haridusameti haldusala</t>
  </si>
  <si>
    <t>OMATULUD</t>
  </si>
  <si>
    <t>1. Linnavolikogu Kantselei</t>
  </si>
  <si>
    <t>Üür ja rent</t>
  </si>
  <si>
    <t>Muu toodete ja teenuste müük</t>
  </si>
  <si>
    <t>Tulud tugiteenustest</t>
  </si>
  <si>
    <t xml:space="preserve">Tulud haridusalasest tegevusest </t>
  </si>
  <si>
    <t>Tulud kultuuri- ja kunstialasest tegevusest</t>
  </si>
  <si>
    <t>Tulud spordi- ja puhkealasest tegevusest</t>
  </si>
  <si>
    <t>Eespool nimetamata muud tulud</t>
  </si>
  <si>
    <t>Õiguste müük</t>
  </si>
  <si>
    <t>Elamu- ja kommunaaltegevuse tulud</t>
  </si>
  <si>
    <t>Tulud muudelt majandusaladelt</t>
  </si>
  <si>
    <t>Tulud sotsiaalabialasest tegevusest</t>
  </si>
  <si>
    <t>Tulud tervishoiualasest tegevusest</t>
  </si>
  <si>
    <t>Tulud transporditeenustest</t>
  </si>
  <si>
    <t>Tulu keskkonnaalasest tegevusest</t>
  </si>
  <si>
    <t>Teede ja tänavate sulgemise maks</t>
  </si>
  <si>
    <t>Loodusvarade kasutusõiguse tasu</t>
  </si>
  <si>
    <t>Kasum/kahjum varude müügist</t>
  </si>
  <si>
    <t>sh teede ja tänavate korrashoid</t>
  </si>
  <si>
    <t>äriruumide üüritulu</t>
  </si>
  <si>
    <t>kommunaalteenused</t>
  </si>
  <si>
    <t>muud eespoolnimetamata tulud majandustegevusest</t>
  </si>
  <si>
    <t>teenused</t>
  </si>
  <si>
    <t>4. Perekonnaseisuamet</t>
  </si>
  <si>
    <t>5. Haridusameti haldusala</t>
  </si>
  <si>
    <t>huviringi osalustasu</t>
  </si>
  <si>
    <t>tehniliste vahendite ja inventari laenutamine</t>
  </si>
  <si>
    <t>piletitulu</t>
  </si>
  <si>
    <t>noortekeskuse muud tasulised teenused</t>
  </si>
  <si>
    <t>noortelaagri teenused</t>
  </si>
  <si>
    <t>ringitasu</t>
  </si>
  <si>
    <t>müügitulu</t>
  </si>
  <si>
    <t>kultuuriasutuse ruumide kasutamine üritusteks</t>
  </si>
  <si>
    <t>tulu parkimisest</t>
  </si>
  <si>
    <t>reklaamitulu</t>
  </si>
  <si>
    <t>spordiasutuse tasulised teenused</t>
  </si>
  <si>
    <t>eluruumide üüritulu</t>
  </si>
  <si>
    <t>muu tulu majandustegevusest</t>
  </si>
  <si>
    <t>hooldustasu</t>
  </si>
  <si>
    <t>toitlustustasu</t>
  </si>
  <si>
    <t>majutusteenus</t>
  </si>
  <si>
    <t>pesupesemisteenus</t>
  </si>
  <si>
    <t>linnarajatiste reklaamitulu</t>
  </si>
  <si>
    <t>tulu müügipiletite realiseerimisest</t>
  </si>
  <si>
    <t>tulu kaubandustegevusest</t>
  </si>
  <si>
    <t>kliendi osalustasu koduteenuste osutamisel</t>
  </si>
  <si>
    <t>huviringide osalustasu</t>
  </si>
  <si>
    <t>muud päevakeskuse teenused</t>
  </si>
  <si>
    <t>Kulud kokku</t>
  </si>
  <si>
    <t xml:space="preserve">Linnakantselei </t>
  </si>
  <si>
    <t>Perekonnaseisuamet</t>
  </si>
  <si>
    <t>Toode:</t>
  </si>
  <si>
    <t>Muud eelarvepositsioonid</t>
  </si>
  <si>
    <t>Tootevaldkond: kultuur</t>
  </si>
  <si>
    <t>Tootegrupp: sportimisvõimaluste tagamine</t>
  </si>
  <si>
    <t>Tootevaldkond: noorsootöö</t>
  </si>
  <si>
    <t>Tootegrupp: noorsootöö</t>
  </si>
  <si>
    <t>Sotsiaal- ja Tervishoiuameti haldusala</t>
  </si>
  <si>
    <t>Tootevaldkond: sotsiaalhoolekanne</t>
  </si>
  <si>
    <t>Tootegrupp: puuetega isikute hoolekanne</t>
  </si>
  <si>
    <t>Sotsiaaltransporditeenus (a)</t>
  </si>
  <si>
    <t>Viipekeeleteenus</t>
  </si>
  <si>
    <t>Isikliku abistaja teenused</t>
  </si>
  <si>
    <t>Töö- ja rakenduskeskuse teenused</t>
  </si>
  <si>
    <t>Puudega inimese perekonda toetavad teenused</t>
  </si>
  <si>
    <t>Tootegrupp: eakate hoolekanne</t>
  </si>
  <si>
    <t>Sotsiaalvalve teenus</t>
  </si>
  <si>
    <t>Eakate päevakeskuste haldamine</t>
  </si>
  <si>
    <t>Omastehooldaja asendusteenus</t>
  </si>
  <si>
    <t>Tootegrupp: laste hoolekanne</t>
  </si>
  <si>
    <t>laste toitlustamine päevakeskustes</t>
  </si>
  <si>
    <t>Tootegrupp: muude kriisirühmade hoolekanne</t>
  </si>
  <si>
    <t>Sotsiaalselt tundlike sihtgruppide rehabilitatsiooniteenused</t>
  </si>
  <si>
    <t>Kodutute öömaja- ja varjupaigateenused</t>
  </si>
  <si>
    <t>Supiköögiteenused</t>
  </si>
  <si>
    <t>Õigusalane nõustamine</t>
  </si>
  <si>
    <t>Toimetulekut soodustavad teenused</t>
  </si>
  <si>
    <t>sh Tšernobõli sotsiaalprogramm</t>
  </si>
  <si>
    <t>toiduabi</t>
  </si>
  <si>
    <t>Vältimatu sotsiaalabi</t>
  </si>
  <si>
    <t>Kriisiabi</t>
  </si>
  <si>
    <t>Sotsiaalhoolekanne</t>
  </si>
  <si>
    <t>Sotsiaal- ja Tervishoiuamet</t>
  </si>
  <si>
    <t>Puuetega inimeste hooldajatoetus (a)</t>
  </si>
  <si>
    <t>Toetused lastele ja peredele (a)</t>
  </si>
  <si>
    <t>lapsehoiuteenuse hüvitis</t>
  </si>
  <si>
    <t>Toetused eakatele</t>
  </si>
  <si>
    <t>teenustasu Eesti Postile</t>
  </si>
  <si>
    <t>Toetused erivajadustega inimestele (a)</t>
  </si>
  <si>
    <t>puudega lapse toetus</t>
  </si>
  <si>
    <t>eluruumi kohandamise hüvitis puudega inimesele (ü)</t>
  </si>
  <si>
    <t>Mittetulundustegevuse toetamine</t>
  </si>
  <si>
    <t>muu mittetulundustegevuse toetamine</t>
  </si>
  <si>
    <t>Tervishoid</t>
  </si>
  <si>
    <t>Mitmesugused tervishoiukulud</t>
  </si>
  <si>
    <t xml:space="preserve">õendusabi korraldamine </t>
  </si>
  <si>
    <t>Ravikindlustusega hõlmamata isikute ravikulud (a)</t>
  </si>
  <si>
    <t>Laste visiiditasust vabastamine</t>
  </si>
  <si>
    <t>Kainestusmaja haldamine</t>
  </si>
  <si>
    <t>Noorte nõustamiskeskuste haldamine</t>
  </si>
  <si>
    <t>Tegevustoetus Sotsiaalrehabilitatsiooni Keskusele Loksa</t>
  </si>
  <si>
    <t>Tootevaldkond: linnamajandus</t>
  </si>
  <si>
    <t>Tootegrupp: elamumajandus</t>
  </si>
  <si>
    <t>Elamute majandamine</t>
  </si>
  <si>
    <t>Äriruumide majandamine</t>
  </si>
  <si>
    <t>Tootevaldkond: ettevõtluskeskkond</t>
  </si>
  <si>
    <t>Tootegrupp: ettevõtluse arendamine</t>
  </si>
  <si>
    <t>Tootegrupp: turismi arendamine</t>
  </si>
  <si>
    <t>Tarbijakaitse</t>
  </si>
  <si>
    <t>Tootegrupp: kaubandus</t>
  </si>
  <si>
    <t>Tallinna Turud</t>
  </si>
  <si>
    <t>praktikajuhendaja toetus</t>
  </si>
  <si>
    <t>messitoetus</t>
  </si>
  <si>
    <t>Tootevaldkond: heakord</t>
  </si>
  <si>
    <t>Tootegrupp: haljastus</t>
  </si>
  <si>
    <t>Muud heakorrakulud</t>
  </si>
  <si>
    <t>Haabersti Linnaosa Valitsuse haldusala</t>
  </si>
  <si>
    <t>Tootegrupp: toimetulekuraskustes isikute hoolekanne</t>
  </si>
  <si>
    <t>Linnaosa valitsus</t>
  </si>
  <si>
    <t>Sotsiaaltoetused</t>
  </si>
  <si>
    <t>Randade hooldus</t>
  </si>
  <si>
    <t>Üksikkorterite majandamine</t>
  </si>
  <si>
    <t>Linnaosa valitsuse reservfond</t>
  </si>
  <si>
    <t>Kristiine Linnaosa Valitsuse haldusala</t>
  </si>
  <si>
    <t>Lasnamäe Linnaosa Valitsuse haldusala</t>
  </si>
  <si>
    <t>Mustamäe Linnaosa Valitsuse haldusala</t>
  </si>
  <si>
    <t>Nõmme Linnaosa Valitsuse haldusala</t>
  </si>
  <si>
    <t>Pirita Linnaosa Valitsuse haldusala</t>
  </si>
  <si>
    <t>Põhja-Tallinna Valitsuse haldusala</t>
  </si>
  <si>
    <t>finantsteenused</t>
  </si>
  <si>
    <t>muud tasulised teenused</t>
  </si>
  <si>
    <t>ruumide kasutamine üritusteks</t>
  </si>
  <si>
    <t xml:space="preserve">äriruumide üüritulu </t>
  </si>
  <si>
    <t>hoolekandeasutuse ruumide kasutamine üritusteks</t>
  </si>
  <si>
    <t>noortekeskuse ruumide kasutamise üritusteks</t>
  </si>
  <si>
    <t>5.1. Haridusamet</t>
  </si>
  <si>
    <t>teistelt kohalikelt omavalitsustelt koolide ja koolieelsete lasteasutuste tegevuskulude katteks</t>
  </si>
  <si>
    <t>teistelt kohalikelt omavalitsustelt huvikoolide tegevuskulude katteks</t>
  </si>
  <si>
    <t>5.2. Koolieelsed lasteasutused</t>
  </si>
  <si>
    <t>koolieelse lasteasutuse toitlustustasu</t>
  </si>
  <si>
    <t>koolieelse lasteasutuse kohatasu</t>
  </si>
  <si>
    <t>laste hoiu kohatasu</t>
  </si>
  <si>
    <t>laste hoiu toitlustustasu</t>
  </si>
  <si>
    <t>haridusasutuse ruumide kasutamine üritusteks</t>
  </si>
  <si>
    <t>5.3. Põhikoolid ja gümnaasiumid</t>
  </si>
  <si>
    <t>koolitoidutasu</t>
  </si>
  <si>
    <t>õppetasu</t>
  </si>
  <si>
    <t>muusikamaja ruumide kasutamine</t>
  </si>
  <si>
    <t>muusikamaja muud teenused</t>
  </si>
  <si>
    <t>5.4. Tallinna Kopli Ametikool</t>
  </si>
  <si>
    <t>ametikooli õppetasu</t>
  </si>
  <si>
    <t>5.5. Huvikoolid</t>
  </si>
  <si>
    <t>laagriteenused</t>
  </si>
  <si>
    <t>5.6. Tallinna Õpetajate Maja</t>
  </si>
  <si>
    <t>6.2. Tallinna Keskraamatukogu</t>
  </si>
  <si>
    <t>kultuuriasutuse muu teenus</t>
  </si>
  <si>
    <t>muu vara üür ja rent</t>
  </si>
  <si>
    <t>dementsete vanurite päevahoiu tasu</t>
  </si>
  <si>
    <t>noortekeskuse ruumide kasutamine üritusteks</t>
  </si>
  <si>
    <t>Haridusamet</t>
  </si>
  <si>
    <t>Tallinna Keskraamatukogule teavikute soetamine</t>
  </si>
  <si>
    <t>Tootevaldkond: haridus</t>
  </si>
  <si>
    <t>Tootegrupp: lastehoid ja alusharidus</t>
  </si>
  <si>
    <t>laste hoiu projekt</t>
  </si>
  <si>
    <t>eesti keele õpe vene õppekeelega rühmades</t>
  </si>
  <si>
    <t>finantskulud (a)</t>
  </si>
  <si>
    <t>Tootegrupp: kutseharidus</t>
  </si>
  <si>
    <t>Tootegrupp: huviharidus</t>
  </si>
  <si>
    <t>Tootegrupp: hariduse tugiteenused</t>
  </si>
  <si>
    <t>Tallinna Õpetajate Maja</t>
  </si>
  <si>
    <t>Tallinna Õppenõustamiskeskus</t>
  </si>
  <si>
    <t>Haridusalased tugiteenused</t>
  </si>
  <si>
    <t>haridustöötajate tunnustamine</t>
  </si>
  <si>
    <t>IKT keskkond</t>
  </si>
  <si>
    <t>välisrahastuse arvelt</t>
  </si>
  <si>
    <t>Olulisemad üritused:</t>
  </si>
  <si>
    <t>Tallinna päev</t>
  </si>
  <si>
    <t>Kristjan Raua kunstipreemia</t>
  </si>
  <si>
    <t>Tallinna Merepäevad</t>
  </si>
  <si>
    <t>Birgitta festival</t>
  </si>
  <si>
    <t>Rahvuskultuuride päev</t>
  </si>
  <si>
    <t>Talveöö unenägu</t>
  </si>
  <si>
    <t>Kultuuriprojektide ja -organisatsioonide toetamine</t>
  </si>
  <si>
    <t>Jazzkaare Sõprade Ühing</t>
  </si>
  <si>
    <t>Laulu- ja Tantsupeo Slaavi pärg Korralduskomitee</t>
  </si>
  <si>
    <t xml:space="preserve">Mittetulundusühing Mustonenfest   </t>
  </si>
  <si>
    <t>Toetus Revali Raeapteegi Muuseumi Ühingule</t>
  </si>
  <si>
    <t>Vanalinna päevad</t>
  </si>
  <si>
    <t>Sotsiaalabi osutamine juhtumikorralduse põhimõttel</t>
  </si>
  <si>
    <t>Turvalisuse projektid</t>
  </si>
  <si>
    <t>rehabilitatsiooniteenus</t>
  </si>
  <si>
    <t>psüühiliste erivajadustega inimeste hoolekandeteenus</t>
  </si>
  <si>
    <t>juhtkoera pidamise toetus</t>
  </si>
  <si>
    <t>sotsiaalmajutusüksuse saunateenus</t>
  </si>
  <si>
    <t>piletimüügi teenustasu</t>
  </si>
  <si>
    <t>tulu koolibussi teenuse osutamisest teistele valdadele</t>
  </si>
  <si>
    <t>veetranspordi piletitulu</t>
  </si>
  <si>
    <t>veoseloa tasu</t>
  </si>
  <si>
    <t>kindlustushüvitised</t>
  </si>
  <si>
    <t>haljastusteenused</t>
  </si>
  <si>
    <t>tasu jäätmete vastuvõtmise eest jäätmejaamas</t>
  </si>
  <si>
    <t>kalmistuteenused</t>
  </si>
  <si>
    <t>väikeloomade krematooriumiteenus</t>
  </si>
  <si>
    <t>väikeloomade transport</t>
  </si>
  <si>
    <t>muud botaanikaaia tasulised teenused</t>
  </si>
  <si>
    <t>looduskooli tasu</t>
  </si>
  <si>
    <t>jäätmeveo teenustasu</t>
  </si>
  <si>
    <t>sauna piletitulu</t>
  </si>
  <si>
    <t>Tallinna kinnisvararegister</t>
  </si>
  <si>
    <t>Elamumajanduse muud kulud</t>
  </si>
  <si>
    <t>Loopealse elurajooni üürimaksed</t>
  </si>
  <si>
    <t>Raadiku elurajooni üürimaksed</t>
  </si>
  <si>
    <t>ohtlike ja linnapilti risustavate hoonete lammutamine</t>
  </si>
  <si>
    <t>elamumajandusprojektide toetamine</t>
  </si>
  <si>
    <t>Tootevaldkond: linnatransport</t>
  </si>
  <si>
    <t>Tootegrupp: ühistransport</t>
  </si>
  <si>
    <t>Liinivedu</t>
  </si>
  <si>
    <t>Piletimajandus</t>
  </si>
  <si>
    <t>Tootegrupp: liikluskorraldus*</t>
  </si>
  <si>
    <t>ühistranspordi ootepaviljonide hooldus</t>
  </si>
  <si>
    <t>ühistranspordi peatuste info</t>
  </si>
  <si>
    <t>sadamate haldus</t>
  </si>
  <si>
    <t>Ühistranspordi uuringud ja projektid</t>
  </si>
  <si>
    <t>muud uuringud ja projektid</t>
  </si>
  <si>
    <t>Tootevaldkond: teed ja tänavad*</t>
  </si>
  <si>
    <t>Tootegrupp: teetööd</t>
  </si>
  <si>
    <t>Teerajatiste korrashoid</t>
  </si>
  <si>
    <t>Jalakäijate tunnelite hooldus</t>
  </si>
  <si>
    <t>Tootegrupp: tänavavalgustus</t>
  </si>
  <si>
    <t>* Eelarve täitmisel on linnavalitsusel õigus muuta summade jaotust tootevaldkonna üldsumma piires.</t>
  </si>
  <si>
    <t>Vesi ja kanalisatsioon*</t>
  </si>
  <si>
    <t>tulekustutusvee tasud ja tuletõrjehüdrantide hoolduskulud</t>
  </si>
  <si>
    <t>Tallinna ühisveevärgi ja -kanalisatsiooni arendamise kava</t>
  </si>
  <si>
    <t>toetus Tallinna Vee-ettevõtjate Järelevalve SA-le</t>
  </si>
  <si>
    <t>* Eelarve täitmisel on linnavalitsusel õigus muuta summade jaotust eelarvepositsiooni üldsumma piires.</t>
  </si>
  <si>
    <t>Vetelpääste avalikes supelrandades</t>
  </si>
  <si>
    <t>Teeregister</t>
  </si>
  <si>
    <t>jalgrattaparklad</t>
  </si>
  <si>
    <t>Haljastute hooldus</t>
  </si>
  <si>
    <t>Haljastute hooldusremont</t>
  </si>
  <si>
    <t>Tootegrupp: kalmistud</t>
  </si>
  <si>
    <t>Tootegrupp: loomakaitse</t>
  </si>
  <si>
    <t>Tootevaldkond: muud kommunaalkulud</t>
  </si>
  <si>
    <t>Tootegrupp: spetsiifilised matuseteenused</t>
  </si>
  <si>
    <t>Keskkonnaprogrammid (ü)</t>
  </si>
  <si>
    <t>Pääsküla prügila monitooring</t>
  </si>
  <si>
    <t>lastemänguväljakute hooldus</t>
  </si>
  <si>
    <t>heakorrakuu</t>
  </si>
  <si>
    <t>grafiti eemaldamine</t>
  </si>
  <si>
    <t>Õppekava toetav loodusõpe Tallinna Botaanikaaias</t>
  </si>
  <si>
    <t>Geomaatika</t>
  </si>
  <si>
    <t>Planeeringud ja arhitektuurikonkursid</t>
  </si>
  <si>
    <t>Muinsuskaitse</t>
  </si>
  <si>
    <t>sellest toetus Eduard Vilde jutuvõistlusele Mustamäe koolides</t>
  </si>
  <si>
    <t>Saunateenuse korraldamine</t>
  </si>
  <si>
    <t>Välisrahastusega teede ja tänavate rekonstrueerimine</t>
  </si>
  <si>
    <t>Linnapiirkondade kergliiklusteede ehitamine</t>
  </si>
  <si>
    <t>Linnavolikogu</t>
  </si>
  <si>
    <t>Personalijuhtimine</t>
  </si>
  <si>
    <t>Finantsjuhtimine (ü)</t>
  </si>
  <si>
    <t>Liikmemaksud (a)</t>
  </si>
  <si>
    <t>Juriidilised teenused ja ühekordsed kohtuvaidlused</t>
  </si>
  <si>
    <t>Rahuliku kooselamise programm</t>
  </si>
  <si>
    <t>Omavalitsusfoorumid ja koostöö arendamine</t>
  </si>
  <si>
    <t>Endiste linnapeade toetus (a)</t>
  </si>
  <si>
    <t>Stipendiumid</t>
  </si>
  <si>
    <t>Tallinna linna Anton Uessoni stipendium (Eesti Kunstiakadeemia)</t>
  </si>
  <si>
    <t>Tootegrupp: perekonnaseisuteenused</t>
  </si>
  <si>
    <t>Tootegrupp: sporditegevuse toetamine</t>
  </si>
  <si>
    <t>Sporditegevuse toetamine (a)</t>
  </si>
  <si>
    <t>Tootegrupp: spordikoolid</t>
  </si>
  <si>
    <t>Eraspordibaaside toetus</t>
  </si>
  <si>
    <t>Tallinna Spordiveteranid</t>
  </si>
  <si>
    <t>terviseliikumise programmüritused</t>
  </si>
  <si>
    <t>Tallinna meistrivõistlused</t>
  </si>
  <si>
    <t>Tallinna Maraton</t>
  </si>
  <si>
    <t>Tallinna noorsportlased</t>
  </si>
  <si>
    <t>saavutusspordi toetamine</t>
  </si>
  <si>
    <t>Tallinna spordiaasta lõpetamine</t>
  </si>
  <si>
    <t>Noorsootööprogrammid ja -projektid</t>
  </si>
  <si>
    <t>arendustegevus</t>
  </si>
  <si>
    <t>laagriprojektid</t>
  </si>
  <si>
    <t>parima noorsootöötaja preemia</t>
  </si>
  <si>
    <t>programmilised tegevused ja üritused</t>
  </si>
  <si>
    <t>toetused</t>
  </si>
  <si>
    <t>Tallinna linna noortevolikogu</t>
  </si>
  <si>
    <t>noorsootööprojektid</t>
  </si>
  <si>
    <t>noorteühingud</t>
  </si>
  <si>
    <t>Noorsportlaste terviseuuringud</t>
  </si>
  <si>
    <t>Koduteenused</t>
  </si>
  <si>
    <t>Linna üldkulud</t>
  </si>
  <si>
    <t>Linna rahahaldusega seotud finantskulud (a)</t>
  </si>
  <si>
    <t>Reservfond*, sh</t>
  </si>
  <si>
    <t>linnavalitsuse reservfond</t>
  </si>
  <si>
    <t>reservid, sh</t>
  </si>
  <si>
    <t>kohtuvaidluste ja muude õiguslike vaidlustega seotud nõuete reserv</t>
  </si>
  <si>
    <t>oma- ja kaasfinantseerimise ja välisprojektide ettevalmistamise reserv</t>
  </si>
  <si>
    <t>* Eelarve täitmisel on linnavalitsusel õigus muuta linnavalitsuse reservfondi ja reservide jaotust ettenähtud üldsumma piires.</t>
  </si>
  <si>
    <t>Riigi ja muude institutsioonide toetuste arvelt tehtavad kulud (a; ü)</t>
  </si>
  <si>
    <t>Tallinna Kesklinna Valitsuse haldusala</t>
  </si>
  <si>
    <t>Tallinna linna infotehnoloogia stipendium (TTÜ IT Kolledž)</t>
  </si>
  <si>
    <t>pensionilisa</t>
  </si>
  <si>
    <t>E-TICKETING - Eesti ja Soome elektrooniliste piletisüsteemide ristkasutuse loomine</t>
  </si>
  <si>
    <t>Tallinna Loomaaia projekt „Pilvemets“</t>
  </si>
  <si>
    <t>projekt „Sport kooli“</t>
  </si>
  <si>
    <t>Projekt „Tallinna Haigla“</t>
  </si>
  <si>
    <t>Projekt „Koolibuss“</t>
  </si>
  <si>
    <t>Projekt „Pargi ja reisi“</t>
  </si>
  <si>
    <t>Välisrahastusega projekt „E-TICKETING - Eesti ja Soome elektrooniliste piletisüsteemide ristkasutuse loomine“ (ü)</t>
  </si>
  <si>
    <t>peale selle amortisatsioon</t>
  </si>
  <si>
    <t>noortelaagri teenus</t>
  </si>
  <si>
    <t>Säästlike ja kliimakindlate linna sademeveesüsteemide arendamine (LIFE UrbanStorm)</t>
  </si>
  <si>
    <t>Erivajadustega inimeste eluaseme füüsiline kohandamine</t>
  </si>
  <si>
    <t>CoastNet LIFE - rannikuelupaikade taastamine</t>
  </si>
  <si>
    <t>projekt „Ettevõtlusküla“</t>
  </si>
  <si>
    <t>imiku hoolduspakid (a)</t>
  </si>
  <si>
    <t>vanemlusprogrammi "Imelised aastad" koolitused</t>
  </si>
  <si>
    <t>ranitsad vähekindlustatud perede lastele</t>
  </si>
  <si>
    <t>transport lastelaagrisse</t>
  </si>
  <si>
    <t>muud perekonda toetavad teenused</t>
  </si>
  <si>
    <t>Lastekaitse arendustegevused võrgustikuga</t>
  </si>
  <si>
    <t>Haridus</t>
  </si>
  <si>
    <t>Tallinna Linnateatri arendusprojekt</t>
  </si>
  <si>
    <t>Linnamajandus</t>
  </si>
  <si>
    <t>Linnatransport</t>
  </si>
  <si>
    <t>Tehnovõrgud</t>
  </si>
  <si>
    <t>Heakord</t>
  </si>
  <si>
    <t>Keskkonnakaitse</t>
  </si>
  <si>
    <t>Teed ja tänavad</t>
  </si>
  <si>
    <t>Vana-Kalamaja tänava rekonstrueerimine</t>
  </si>
  <si>
    <t>Linna tugiteenused</t>
  </si>
  <si>
    <t>Puuetega inimeste hooldajate eest makstav sotsiaalmaks (a)</t>
  </si>
  <si>
    <t>Sotsiaaltöötajate tunnustamine</t>
  </si>
  <si>
    <t>Tervishoiutöötajate tunnustamine</t>
  </si>
  <si>
    <t>välismessi toetus</t>
  </si>
  <si>
    <t>Ironman Tallinn</t>
  </si>
  <si>
    <t>Mittetulundusühing SPIN</t>
  </si>
  <si>
    <t>Piirkondlikud sündmused ja projektid</t>
  </si>
  <si>
    <t>Toetused korteriühistutele (ü), sh*</t>
  </si>
  <si>
    <t>korteriühistute koolitustoetus</t>
  </si>
  <si>
    <t>Välisrahastusega projekt „Park4SUMP“ (ü)</t>
  </si>
  <si>
    <t>Supergraafilised seinapildid korterelamutele (ü)</t>
  </si>
  <si>
    <t>Välisrahastusega projekt „Säästlike ja kliimakindlate linna sademeveesüsteemide arendamine (LIFE UrbanStorm)“ (ü)</t>
  </si>
  <si>
    <t>Välisrahastusega projekt "CoastNet LIFE – rannikuelupaikade taastamine“ (ü)</t>
  </si>
  <si>
    <t>Shiftworks OÜ (Tallinn Music Week)</t>
  </si>
  <si>
    <t>ülelinnalised üritused</t>
  </si>
  <si>
    <t>Sotsiaalteenuste arendamise ja täiendavate sotsiaaltoetuste maksmise toetus</t>
  </si>
  <si>
    <t>liiniveo infosüsteemid</t>
  </si>
  <si>
    <t>Ühistranspordi infrastruktuuri haldamine*</t>
  </si>
  <si>
    <t>Linna asutuste ja linnakeskkonna turvalisuse tõstmine</t>
  </si>
  <si>
    <t>koolituste korraldamine</t>
  </si>
  <si>
    <t>KVN festival</t>
  </si>
  <si>
    <t>sellest asumifestival KopliFest</t>
  </si>
  <si>
    <t>Kaasava hariduse põhimõtete rakendamise toetamine Tallinna koolides</t>
  </si>
  <si>
    <t>Keskkonna- ja Kommunaalameti haldusala</t>
  </si>
  <si>
    <t>Tallinna Kesklinna Valitsus</t>
  </si>
  <si>
    <t>tugimeetmed NEET (youth neither in employment nor in education or training) noortele</t>
  </si>
  <si>
    <t>tulu parkimisest asutuse territooriumil</t>
  </si>
  <si>
    <t>koolitus</t>
  </si>
  <si>
    <t xml:space="preserve">teenused </t>
  </si>
  <si>
    <t>koolitusteenus</t>
  </si>
  <si>
    <t xml:space="preserve">kauba müük </t>
  </si>
  <si>
    <t>Kasum / kahjum kauba müügist</t>
  </si>
  <si>
    <t>muud ettevõtlusalased projektid</t>
  </si>
  <si>
    <t>linnale kuuluvate kinnistute hooldamine</t>
  </si>
  <si>
    <t>tegevustoetus elamumajanduse MTÜdele</t>
  </si>
  <si>
    <t>Projekt „Korteriühistute kompetentsikeskus“</t>
  </si>
  <si>
    <t>sh liikluskorraldusvahendid</t>
  </si>
  <si>
    <t>teekattemärgistus</t>
  </si>
  <si>
    <t>Teerajatiste puhastamine (a)</t>
  </si>
  <si>
    <t>sellest Kadrioru Park</t>
  </si>
  <si>
    <t>Keskkonna- ja Kommunaalamet</t>
  </si>
  <si>
    <t>Linnapõllumajandus (ü)</t>
  </si>
  <si>
    <t>Muud heakorrakulud*</t>
  </si>
  <si>
    <t>ajutised välikäimlad</t>
  </si>
  <si>
    <t>kiusamise ennetus- ja sekkumisprogrammide rakendamine haridusasutustes</t>
  </si>
  <si>
    <t>Kirjandustänava festival</t>
  </si>
  <si>
    <t>Rahvusvaheline Rahvuskultuuride Ühenduste Liit Lüüra</t>
  </si>
  <si>
    <t>sellest Tallinna Grand Prix ja publikupreemia</t>
  </si>
  <si>
    <t>laste- ja noortefilmide festival Just Film</t>
  </si>
  <si>
    <t xml:space="preserve">arendustegevused </t>
  </si>
  <si>
    <t>ürituste korraldamiseks</t>
  </si>
  <si>
    <t>Siseaudit</t>
  </si>
  <si>
    <t>Linnaosades turvalisuse tagamise kulude reserv</t>
  </si>
  <si>
    <t>sellest talvevalgustus</t>
  </si>
  <si>
    <t>koolieelsete lasteasutuste õpetajate tööjõukulude toetus</t>
  </si>
  <si>
    <t>huvihariduse ja -tegevuse toetus</t>
  </si>
  <si>
    <t>kaasava hariduse põhimõtete rakendamise toetamine Tallinna koolides</t>
  </si>
  <si>
    <t>rahvastikutoimingute kulude hüvitis</t>
  </si>
  <si>
    <t>sellest üldhariduskoolide pidamiseks antav toetus</t>
  </si>
  <si>
    <t>toetused abiorganisatsioonidele</t>
  </si>
  <si>
    <t>6.3. Tallinna Linnamuuseum</t>
  </si>
  <si>
    <t>6.4. Tallinna Kirjanduskeskus</t>
  </si>
  <si>
    <t>6.5. Tallinna Linnateater</t>
  </si>
  <si>
    <t>6.6. Tallinna Filharmoonia</t>
  </si>
  <si>
    <t>6.7. Tallinna Rahvaülikool</t>
  </si>
  <si>
    <t>6.8. Vene Kultuurikeskus</t>
  </si>
  <si>
    <t>Tallinna esindusvõistkonnad</t>
  </si>
  <si>
    <t>alaliitude toetamine</t>
  </si>
  <si>
    <t>Park4SUMP</t>
  </si>
  <si>
    <t>Õigusaktide infosüsteemi Teele juurutamise projekt (ü)</t>
  </si>
  <si>
    <t>Toetus Sihtasutusele Tallinna Tehnika- ja Teaduskeskus</t>
  </si>
  <si>
    <t>Toetus Sihtasutusele Tallinna Vene Lütseum</t>
  </si>
  <si>
    <t>sellest Mittetulundusühingule Pimedate Ööde Filmifestival</t>
  </si>
  <si>
    <t>Toetus mittetulundusühingule AIDSi Tugikeskus uimastiennetustegevuseks</t>
  </si>
  <si>
    <t>Tegevustoetus Mittetulundusühingule Lootuse Küla</t>
  </si>
  <si>
    <t>Toetus Tallinna Linnahalli Aktsiaseltsile</t>
  </si>
  <si>
    <t>Toetus Sihtasutusele Tallinna Ettevõtlusinkubaatorid</t>
  </si>
  <si>
    <t>Toetus Sihtasutusele Tallinna Lauluväljak</t>
  </si>
  <si>
    <t>Uimastiennetustegevus Sihtasutuses Tallinna Lastehaigla</t>
  </si>
  <si>
    <t>jaotamata</t>
  </si>
  <si>
    <t>sh tegevuskuludeks</t>
  </si>
  <si>
    <t>AI4Cities – linnade üleminek süsinikuneutraalsusele tehisintellekti abil</t>
  </si>
  <si>
    <t>CENTRINNO - Vanade tööstusalade muutmine uuteks loovklastriteks ja kogukonnakeskusteks</t>
  </si>
  <si>
    <t>Rohelinnad - GoGreenRoutes</t>
  </si>
  <si>
    <t>Kultuuri kättesaadavus kõikidele linnakodanikele - ACCESS</t>
  </si>
  <si>
    <t>UserCentriCities (UCC) - Kasutajakeskne teenusedisain linnades</t>
  </si>
  <si>
    <t>Abiks hoolduskoormusega inimestele</t>
  </si>
  <si>
    <t>Alaealiste erikohtlemise süsteemi loomine</t>
  </si>
  <si>
    <t>CitySCAPE - linnasisene küberturvaline multimodaalne transpordi ökosüsteem</t>
  </si>
  <si>
    <t>SUMBA+</t>
  </si>
  <si>
    <t>Roheline kiirtee - innovaatiline rohetaristu planeerimine (B.Green)</t>
  </si>
  <si>
    <t>Põhitänavate välisvalgustuse rekonstrueerimise II etapp</t>
  </si>
  <si>
    <t>isikukeskne erihoolekandeteenus</t>
  </si>
  <si>
    <t>tööpraktika juhendamine</t>
  </si>
  <si>
    <t>tulu üldhooldusteenuse õendusteenusest (leping Haigekassaga)</t>
  </si>
  <si>
    <t>sotsiaalmajutusüksuste kohatasu</t>
  </si>
  <si>
    <t>äriruumide haldamise tulu</t>
  </si>
  <si>
    <t>Noorsootöö</t>
  </si>
  <si>
    <t>Koduteenuse klientide poekaupade kullerteenus</t>
  </si>
  <si>
    <t>sh Sotsiaal- ja Tervishoiuamet</t>
  </si>
  <si>
    <t>Tallinna Tugikeskus Juks</t>
  </si>
  <si>
    <t>Käo Tugikeskus</t>
  </si>
  <si>
    <t>Tallinna Vaimse Tervise Keskus</t>
  </si>
  <si>
    <t>Iru Hooldekodu</t>
  </si>
  <si>
    <r>
      <t>Perekeskuse teenused</t>
    </r>
    <r>
      <rPr>
        <sz val="8"/>
        <rFont val="Arial"/>
        <family val="2"/>
        <charset val="186"/>
      </rPr>
      <t xml:space="preserve"> (Tallinna Perekeskus)</t>
    </r>
  </si>
  <si>
    <r>
      <t>Perekonda toetavad teenused,</t>
    </r>
    <r>
      <rPr>
        <i/>
        <sz val="10"/>
        <rFont val="Arial"/>
        <family val="2"/>
        <charset val="186"/>
      </rPr>
      <t xml:space="preserve"> sh:</t>
    </r>
  </si>
  <si>
    <r>
      <t xml:space="preserve">Laste ja emad lastega turvakoduteenused </t>
    </r>
    <r>
      <rPr>
        <sz val="8"/>
        <rFont val="Arial"/>
        <family val="2"/>
        <charset val="186"/>
      </rPr>
      <t>(Tallinna Lastekodu, Tallinna Laste Turvakeskus)</t>
    </r>
  </si>
  <si>
    <r>
      <t>Käitumishäiretega laste rehabilitatsiooniteenus</t>
    </r>
    <r>
      <rPr>
        <sz val="8"/>
        <rFont val="Arial"/>
        <family val="2"/>
        <charset val="186"/>
      </rPr>
      <t xml:space="preserve"> (Tallinna Laste Turvakeskus)</t>
    </r>
  </si>
  <si>
    <r>
      <t>Asendushooldusteenus</t>
    </r>
    <r>
      <rPr>
        <sz val="8"/>
        <rFont val="Arial"/>
        <family val="2"/>
        <charset val="186"/>
      </rPr>
      <t xml:space="preserve"> (Tallinna Lastekodu)</t>
    </r>
  </si>
  <si>
    <r>
      <t>Sotsiaalmajutusüksused</t>
    </r>
    <r>
      <rPr>
        <sz val="8"/>
        <rFont val="Arial"/>
        <family val="2"/>
        <charset val="186"/>
      </rPr>
      <t xml:space="preserve"> (Tallinna Sotsiaaltöö Keskus)</t>
    </r>
  </si>
  <si>
    <r>
      <t xml:space="preserve">Muud sotsiaaltoetused, </t>
    </r>
    <r>
      <rPr>
        <i/>
        <u/>
        <sz val="10"/>
        <rFont val="Arial"/>
        <family val="2"/>
        <charset val="186"/>
      </rPr>
      <t>sh</t>
    </r>
  </si>
  <si>
    <r>
      <t>sh</t>
    </r>
    <r>
      <rPr>
        <sz val="8"/>
        <rFont val="Arial"/>
        <family val="2"/>
        <charset val="186"/>
      </rPr>
      <t xml:space="preserve"> toetus (a)</t>
    </r>
  </si>
  <si>
    <r>
      <t xml:space="preserve">sh </t>
    </r>
    <r>
      <rPr>
        <sz val="8"/>
        <rFont val="Arial"/>
        <family val="2"/>
        <charset val="186"/>
      </rPr>
      <t>Tallinna Noorteklubi KODULINN</t>
    </r>
  </si>
  <si>
    <t>Sotsiaalvaldkonna töötajate palgatõus</t>
  </si>
  <si>
    <r>
      <t>sh</t>
    </r>
    <r>
      <rPr>
        <sz val="8"/>
        <rFont val="Arial"/>
        <family val="2"/>
        <charset val="186"/>
      </rPr>
      <t xml:space="preserve"> projektid ja programmid</t>
    </r>
  </si>
  <si>
    <t>Arsti koduvisiidid</t>
  </si>
  <si>
    <r>
      <t>Korraldatud jäätmevedu</t>
    </r>
    <r>
      <rPr>
        <sz val="8"/>
        <rFont val="Arial"/>
        <family val="2"/>
        <charset val="186"/>
      </rPr>
      <t xml:space="preserve"> (Tallinna Jäätmekeskus) </t>
    </r>
  </si>
  <si>
    <t>väikeettevõtja digilahenduste toetus</t>
  </si>
  <si>
    <r>
      <t xml:space="preserve">Ettevõtluse ja turismiga seotud mittetulundustegevuse toetamine, </t>
    </r>
    <r>
      <rPr>
        <i/>
        <u/>
        <sz val="10"/>
        <rFont val="Arial"/>
        <family val="2"/>
        <charset val="186"/>
      </rPr>
      <t>sh:</t>
    </r>
  </si>
  <si>
    <t>Tallinna Giidide Ühing</t>
  </si>
  <si>
    <r>
      <t xml:space="preserve">sh </t>
    </r>
    <r>
      <rPr>
        <sz val="8"/>
        <rFont val="Arial"/>
        <family val="2"/>
        <charset val="186"/>
      </rPr>
      <t>Tallinna linna Raestipendium (ülikoolid ja rakenduskõrgkoolid)</t>
    </r>
  </si>
  <si>
    <t>Välisrahastusega projekt "AI4Cities – linnade üleminek süsinikuneutraalsusele tehisintellekti abil“ (ü)</t>
  </si>
  <si>
    <r>
      <t xml:space="preserve">Välisrahastusega projekt </t>
    </r>
    <r>
      <rPr>
        <b/>
        <u/>
        <sz val="10"/>
        <rFont val="Arial"/>
        <family val="2"/>
        <charset val="186"/>
      </rPr>
      <t>"</t>
    </r>
    <r>
      <rPr>
        <u/>
        <sz val="10"/>
        <rFont val="Arial"/>
        <family val="2"/>
        <charset val="186"/>
      </rPr>
      <t>CENTRINNO - Vanade tööstusalade muutmine uuteks loovklastriteks ja kogukonnakeskusteks“ (ü)</t>
    </r>
  </si>
  <si>
    <t>Välisrahastusega projekt "Kultuuri kättesaadavus kõikidele linnakodanikele - ACCESS" (ü)</t>
  </si>
  <si>
    <t>Välisrahastusega projekt "UserCentriCities (UCC) - Kasutajakeskne teenusedisain linnades" (ü)</t>
  </si>
  <si>
    <t>toetused välisrahastusega projektide kaasfinantseerimiseks</t>
  </si>
  <si>
    <t>toetused riigilt ja muudelt institutsioonidelt arvelt</t>
  </si>
  <si>
    <t>Välisrahastusega projekt "Kaasava hariduse põhimõtete rakendamise toetamine Tallinna koolides" (ü)</t>
  </si>
  <si>
    <r>
      <t>Tootegrupp: raamatukogud</t>
    </r>
    <r>
      <rPr>
        <sz val="8"/>
        <rFont val="Arial"/>
        <family val="2"/>
        <charset val="186"/>
      </rPr>
      <t xml:space="preserve"> (Tallinna Keskraamatukogu)</t>
    </r>
  </si>
  <si>
    <r>
      <t>Tootegrupp: kultuuritegevus</t>
    </r>
    <r>
      <rPr>
        <sz val="8"/>
        <rFont val="Arial"/>
        <family val="2"/>
        <charset val="186"/>
      </rPr>
      <t xml:space="preserve"> (Vene Kultuurikeskus)</t>
    </r>
  </si>
  <si>
    <r>
      <t>Tootegrupp: muuseumid</t>
    </r>
    <r>
      <rPr>
        <sz val="8"/>
        <rFont val="Arial"/>
        <family val="2"/>
        <charset val="186"/>
      </rPr>
      <t xml:space="preserve"> (Tallinna Linnamuuseum)</t>
    </r>
  </si>
  <si>
    <r>
      <t>Tootegrupp: kirjanduskeskus</t>
    </r>
    <r>
      <rPr>
        <sz val="8"/>
        <rFont val="Arial"/>
        <family val="2"/>
        <charset val="186"/>
      </rPr>
      <t xml:space="preserve"> (Tallinna Kirjanduskeskus)</t>
    </r>
  </si>
  <si>
    <r>
      <t>Tootegrupp: teater</t>
    </r>
    <r>
      <rPr>
        <sz val="8"/>
        <rFont val="Arial"/>
        <family val="2"/>
        <charset val="186"/>
      </rPr>
      <t xml:space="preserve"> (Tallinna Linnateater)</t>
    </r>
  </si>
  <si>
    <r>
      <t>Tootegrupp: kontsertteenus</t>
    </r>
    <r>
      <rPr>
        <sz val="8"/>
        <rFont val="Arial"/>
        <family val="2"/>
        <charset val="186"/>
      </rPr>
      <t xml:space="preserve"> (Tallinna Filharmoonia)</t>
    </r>
  </si>
  <si>
    <r>
      <t>Tootegrupp: koolitusteenus</t>
    </r>
    <r>
      <rPr>
        <sz val="8"/>
        <rFont val="Arial"/>
        <family val="2"/>
        <charset val="186"/>
      </rPr>
      <t xml:space="preserve"> (Tallinna Rahvaülikool)</t>
    </r>
  </si>
  <si>
    <t>sellest purjeõppe toetamine</t>
  </si>
  <si>
    <r>
      <t>Spordihallid ja -väljakud</t>
    </r>
    <r>
      <rPr>
        <sz val="8"/>
        <rFont val="Arial"/>
        <family val="2"/>
        <charset val="186"/>
      </rPr>
      <t xml:space="preserve"> (Tallinna Spordihall)</t>
    </r>
  </si>
  <si>
    <r>
      <t>Spordihooned ja -rajatised</t>
    </r>
    <r>
      <rPr>
        <sz val="8"/>
        <rFont val="Arial"/>
        <family val="2"/>
        <charset val="186"/>
      </rPr>
      <t xml:space="preserve"> (Pirita Spordikeskus, Tondiraba Spordikeskus, Kristiine Sport, Nõmme Spordikeskus, Tallinna Spordihall)</t>
    </r>
  </si>
  <si>
    <r>
      <t>Ujulad</t>
    </r>
    <r>
      <rPr>
        <sz val="8"/>
        <rFont val="Arial"/>
        <family val="2"/>
        <charset val="186"/>
      </rPr>
      <t xml:space="preserve"> (Tallinna Spordihall, Kristiine Sport)</t>
    </r>
  </si>
  <si>
    <r>
      <t>Spordikoolid (</t>
    </r>
    <r>
      <rPr>
        <sz val="8"/>
        <rFont val="Arial"/>
        <family val="2"/>
        <charset val="186"/>
      </rPr>
      <t>Tallinna Spordikool</t>
    </r>
    <r>
      <rPr>
        <sz val="10"/>
        <rFont val="Arial"/>
        <family val="2"/>
        <charset val="186"/>
      </rPr>
      <t>)</t>
    </r>
  </si>
  <si>
    <r>
      <t>sh</t>
    </r>
    <r>
      <rPr>
        <sz val="8"/>
        <rFont val="Arial"/>
        <family val="2"/>
        <charset val="186"/>
      </rPr>
      <t xml:space="preserve"> jäähallid</t>
    </r>
  </si>
  <si>
    <r>
      <t xml:space="preserve">sh </t>
    </r>
    <r>
      <rPr>
        <sz val="8"/>
        <rFont val="Arial"/>
        <family val="2"/>
        <charset val="186"/>
      </rPr>
      <t>rahvusvahelised spordiüritused*</t>
    </r>
  </si>
  <si>
    <t>muud spordiprojektid*</t>
  </si>
  <si>
    <r>
      <rPr>
        <i/>
        <sz val="8"/>
        <rFont val="Arial"/>
        <family val="2"/>
        <charset val="186"/>
      </rPr>
      <t>sh</t>
    </r>
    <r>
      <rPr>
        <sz val="8"/>
        <rFont val="Arial"/>
        <family val="2"/>
        <charset val="186"/>
      </rPr>
      <t xml:space="preserve"> Sihtasutus Õpilasmalev</t>
    </r>
  </si>
  <si>
    <t>Välisrahastusega projekt „Alaealiste erikohtlemise süsteemi loomine“ (ü)</t>
  </si>
  <si>
    <r>
      <t>Üldhooldusteenuse õendusteenus (</t>
    </r>
    <r>
      <rPr>
        <u/>
        <sz val="8"/>
        <rFont val="Arial"/>
        <family val="2"/>
        <charset val="186"/>
      </rPr>
      <t>Iru Hooldekodu)</t>
    </r>
  </si>
  <si>
    <t>Mittetulundusühing Tallinn Restaurant Week</t>
  </si>
  <si>
    <t>Mittetulundusühing Eesti Konverentsibüroo</t>
  </si>
  <si>
    <t>Eesti Rahvakunsti ja Käsitöö Liit</t>
  </si>
  <si>
    <r>
      <t xml:space="preserve">sh </t>
    </r>
    <r>
      <rPr>
        <sz val="8"/>
        <rFont val="Arial"/>
        <family val="2"/>
        <charset val="186"/>
      </rPr>
      <t>eluruumide haldamine</t>
    </r>
  </si>
  <si>
    <r>
      <t xml:space="preserve">sh </t>
    </r>
    <r>
      <rPr>
        <sz val="8"/>
        <rFont val="Arial"/>
        <family val="2"/>
        <charset val="186"/>
      </rPr>
      <t>Viru keskuse autobussiterminal</t>
    </r>
  </si>
  <si>
    <r>
      <t xml:space="preserve">sh </t>
    </r>
    <r>
      <rPr>
        <sz val="8"/>
        <rFont val="Arial"/>
        <family val="2"/>
        <charset val="186"/>
      </rPr>
      <t>liinivedu laevaga</t>
    </r>
  </si>
  <si>
    <r>
      <t xml:space="preserve">sh </t>
    </r>
    <r>
      <rPr>
        <sz val="8"/>
        <rFont val="Arial"/>
        <family val="2"/>
        <charset val="186"/>
      </rPr>
      <t>liikluskorralduse uuringud</t>
    </r>
  </si>
  <si>
    <t>Välisrahastusega projekt „SUMBA+" (ü)</t>
  </si>
  <si>
    <r>
      <t>Tootegrupp: loomaaed</t>
    </r>
    <r>
      <rPr>
        <sz val="8"/>
        <rFont val="Arial"/>
        <family val="2"/>
        <charset val="186"/>
      </rPr>
      <t xml:space="preserve"> (Tallinna Loomaaed)</t>
    </r>
  </si>
  <si>
    <r>
      <t>Tootegrupp: botaanikaaed</t>
    </r>
    <r>
      <rPr>
        <sz val="8"/>
        <rFont val="Arial"/>
        <family val="2"/>
        <charset val="186"/>
      </rPr>
      <t xml:space="preserve"> (Tallinna Botaanikaaed)</t>
    </r>
  </si>
  <si>
    <r>
      <t xml:space="preserve">sh </t>
    </r>
    <r>
      <rPr>
        <sz val="8"/>
        <rFont val="Arial"/>
        <family val="2"/>
        <charset val="186"/>
      </rPr>
      <t>sademevee puhastus (a)</t>
    </r>
  </si>
  <si>
    <r>
      <t>Valgusfestivali korraldamine</t>
    </r>
    <r>
      <rPr>
        <sz val="8"/>
        <rFont val="Arial"/>
        <family val="2"/>
        <charset val="186"/>
      </rPr>
      <t xml:space="preserve"> (Kadrioru Park)</t>
    </r>
  </si>
  <si>
    <r>
      <t>sellest</t>
    </r>
    <r>
      <rPr>
        <sz val="8"/>
        <rFont val="Arial"/>
        <family val="2"/>
        <charset val="186"/>
      </rPr>
      <t xml:space="preserve"> koerte jalutusväljakute ja ujutamiskohtade hooldus</t>
    </r>
  </si>
  <si>
    <t>Välisrahastusega projekt "Roheline kiirtee - innovaatiline rohetaristu planeerimine (B.Green)" (ü)</t>
  </si>
  <si>
    <r>
      <t>Tootegrupp: kultuuritegevus</t>
    </r>
    <r>
      <rPr>
        <sz val="8"/>
        <rFont val="Arial"/>
        <family val="2"/>
        <charset val="186"/>
      </rPr>
      <t xml:space="preserve"> (Haabersti Vaba Aja Keskus)</t>
    </r>
  </si>
  <si>
    <r>
      <t xml:space="preserve">Noortekeskus </t>
    </r>
    <r>
      <rPr>
        <sz val="8"/>
        <rFont val="Arial"/>
        <family val="2"/>
        <charset val="186"/>
      </rPr>
      <t>(Haabersti Vaba Aja Keskus)</t>
    </r>
  </si>
  <si>
    <r>
      <t>Päevakeskuse teenused</t>
    </r>
    <r>
      <rPr>
        <sz val="8"/>
        <rFont val="Arial"/>
        <family val="2"/>
        <charset val="186"/>
      </rPr>
      <t xml:space="preserve"> (Haabersti Päevakeskus)</t>
    </r>
  </si>
  <si>
    <r>
      <t xml:space="preserve">Koduteenused </t>
    </r>
    <r>
      <rPr>
        <sz val="8"/>
        <rFont val="Arial"/>
        <family val="2"/>
        <charset val="186"/>
      </rPr>
      <t>(Haabersti Päevakeskus)</t>
    </r>
  </si>
  <si>
    <r>
      <t>Tootegrupp: kultuuritegevus</t>
    </r>
    <r>
      <rPr>
        <sz val="8"/>
        <rFont val="Arial"/>
        <family val="2"/>
        <charset val="186"/>
      </rPr>
      <t xml:space="preserve"> (Kesklinna Vaba Aja Keskus)</t>
    </r>
  </si>
  <si>
    <r>
      <t>Noortekeskus</t>
    </r>
    <r>
      <rPr>
        <sz val="8"/>
        <rFont val="Arial"/>
        <family val="2"/>
        <charset val="186"/>
      </rPr>
      <t xml:space="preserve"> (Kesklinna Vaba Aja Keskus)</t>
    </r>
  </si>
  <si>
    <r>
      <t>Päevakeskuse teenused</t>
    </r>
    <r>
      <rPr>
        <sz val="8"/>
        <rFont val="Arial"/>
        <family val="2"/>
        <charset val="186"/>
      </rPr>
      <t xml:space="preserve"> (Tallinna Kesklinna Sotsiaalkeskus)</t>
    </r>
  </si>
  <si>
    <r>
      <t>Koduteenused</t>
    </r>
    <r>
      <rPr>
        <sz val="8"/>
        <rFont val="Arial"/>
        <family val="2"/>
        <charset val="186"/>
      </rPr>
      <t xml:space="preserve"> (Tallinna Kesklinna Sotsiaalkeskus)</t>
    </r>
  </si>
  <si>
    <r>
      <t>Saunateenuse korraldamine</t>
    </r>
    <r>
      <rPr>
        <sz val="8"/>
        <rFont val="Arial"/>
        <family val="2"/>
        <charset val="186"/>
      </rPr>
      <t xml:space="preserve"> (Raua Saun)</t>
    </r>
  </si>
  <si>
    <t xml:space="preserve"> Aegna saare loodusmaja haldamine</t>
  </si>
  <si>
    <t>Välisrahastusega projekt „Kesklinna uussisserändajate projekt - The project of immigrants of Tallinn City Center" (ü)</t>
  </si>
  <si>
    <t>välisrahastuse kaasfinantseerimise arvelt</t>
  </si>
  <si>
    <r>
      <t>Noortekeskus</t>
    </r>
    <r>
      <rPr>
        <sz val="8"/>
        <rFont val="Arial"/>
        <family val="2"/>
        <charset val="186"/>
      </rPr>
      <t xml:space="preserve"> (Kristiine Tegevuskeskus)</t>
    </r>
  </si>
  <si>
    <r>
      <t>Päevakeskuse teenused</t>
    </r>
    <r>
      <rPr>
        <sz val="8"/>
        <rFont val="Arial"/>
        <family val="2"/>
        <charset val="186"/>
      </rPr>
      <t xml:space="preserve"> (Kristiine Tegevuskeskus)</t>
    </r>
  </si>
  <si>
    <r>
      <t>Koduteenused</t>
    </r>
    <r>
      <rPr>
        <sz val="8"/>
        <rFont val="Arial"/>
        <family val="2"/>
        <charset val="186"/>
      </rPr>
      <t xml:space="preserve"> (Kristiine Tegevuskeskus)</t>
    </r>
  </si>
  <si>
    <r>
      <t>Tootegrupp: kultuuritegevus</t>
    </r>
    <r>
      <rPr>
        <sz val="8"/>
        <rFont val="Arial"/>
        <family val="2"/>
        <charset val="186"/>
      </rPr>
      <t xml:space="preserve"> (Kultuurikeskus Lindakivi)</t>
    </r>
  </si>
  <si>
    <r>
      <t>Noortekeskus</t>
    </r>
    <r>
      <rPr>
        <sz val="8"/>
        <rFont val="Arial"/>
        <family val="2"/>
        <charset val="186"/>
      </rPr>
      <t xml:space="preserve"> (Lasnamäe Noortekeskus)</t>
    </r>
  </si>
  <si>
    <r>
      <t>Spordihooned ja -rajatised</t>
    </r>
    <r>
      <rPr>
        <sz val="8"/>
        <rFont val="Arial"/>
        <family val="2"/>
        <charset val="186"/>
      </rPr>
      <t xml:space="preserve"> (Lasnamäe Spordikompleks)</t>
    </r>
  </si>
  <si>
    <r>
      <t>Laste päevakeskuse teenused</t>
    </r>
    <r>
      <rPr>
        <sz val="8"/>
        <rFont val="Arial"/>
        <family val="2"/>
        <charset val="186"/>
      </rPr>
      <t xml:space="preserve"> (Lasnamäe Lastekeskus)</t>
    </r>
  </si>
  <si>
    <r>
      <t>Päevakeskuse teenused</t>
    </r>
    <r>
      <rPr>
        <sz val="8"/>
        <rFont val="Arial"/>
        <family val="2"/>
        <charset val="186"/>
      </rPr>
      <t xml:space="preserve"> (Lasnamäe Sotsiaalkeskus)</t>
    </r>
  </si>
  <si>
    <r>
      <t>Koduteenused</t>
    </r>
    <r>
      <rPr>
        <sz val="8"/>
        <rFont val="Arial"/>
        <family val="2"/>
        <charset val="186"/>
      </rPr>
      <t xml:space="preserve"> (Lasnamäe Sotsiaalkeskus)</t>
    </r>
  </si>
  <si>
    <t>sellest Raadiku Noortestaap</t>
  </si>
  <si>
    <t>muud sündmused ja projektid</t>
  </si>
  <si>
    <r>
      <t>Saunateenuse korraldamine</t>
    </r>
    <r>
      <rPr>
        <sz val="8"/>
        <rFont val="Arial"/>
        <family val="2"/>
        <charset val="186"/>
      </rPr>
      <t xml:space="preserve"> (Lasnamäe Saun)</t>
    </r>
  </si>
  <si>
    <r>
      <t>Tootegrupp: kultuuritegevus</t>
    </r>
    <r>
      <rPr>
        <sz val="8"/>
        <rFont val="Arial"/>
        <family val="2"/>
        <charset val="186"/>
      </rPr>
      <t xml:space="preserve"> (Mustamäe Kultuurikeskus Kaja)</t>
    </r>
  </si>
  <si>
    <r>
      <t>Noortekeskus</t>
    </r>
    <r>
      <rPr>
        <sz val="8"/>
        <rFont val="Arial"/>
        <family val="2"/>
        <charset val="186"/>
      </rPr>
      <t xml:space="preserve"> (Mustamäe Kultuurikeskus Kaja)</t>
    </r>
  </si>
  <si>
    <r>
      <t>Päevakeskuse teenused</t>
    </r>
    <r>
      <rPr>
        <sz val="8"/>
        <rFont val="Arial"/>
        <family val="2"/>
        <charset val="186"/>
      </rPr>
      <t xml:space="preserve"> (Mustamäe Päevakeskus)</t>
    </r>
  </si>
  <si>
    <r>
      <t>Koduteenused</t>
    </r>
    <r>
      <rPr>
        <sz val="8"/>
        <rFont val="Arial"/>
        <family val="2"/>
        <charset val="186"/>
      </rPr>
      <t xml:space="preserve"> (Mustamäe Päevakeskus)</t>
    </r>
  </si>
  <si>
    <r>
      <t>Tootegrupp: kultuuritegevus</t>
    </r>
    <r>
      <rPr>
        <sz val="8"/>
        <rFont val="Arial"/>
        <family val="2"/>
        <charset val="186"/>
      </rPr>
      <t xml:space="preserve"> (Nõmme Kultuurikeskus)</t>
    </r>
  </si>
  <si>
    <r>
      <t>Noortekeskus</t>
    </r>
    <r>
      <rPr>
        <sz val="8"/>
        <rFont val="Arial"/>
        <family val="2"/>
        <charset val="186"/>
      </rPr>
      <t xml:space="preserve"> (Nõmme Vaba Aja Keskus)</t>
    </r>
  </si>
  <si>
    <r>
      <t>Laste päevakeskuse teenused</t>
    </r>
    <r>
      <rPr>
        <sz val="8"/>
        <rFont val="Arial"/>
        <family val="2"/>
        <charset val="186"/>
      </rPr>
      <t xml:space="preserve"> (Nõmme Vaba Aja Keskus)</t>
    </r>
  </si>
  <si>
    <r>
      <t>Päevakeskuse teenused</t>
    </r>
    <r>
      <rPr>
        <sz val="8"/>
        <rFont val="Arial"/>
        <family val="2"/>
        <charset val="186"/>
      </rPr>
      <t xml:space="preserve"> (Nõmme Vaba Aja Keskus)</t>
    </r>
  </si>
  <si>
    <r>
      <t>Koduteenused</t>
    </r>
    <r>
      <rPr>
        <sz val="8"/>
        <rFont val="Arial"/>
        <family val="2"/>
        <charset val="186"/>
      </rPr>
      <t xml:space="preserve"> (Nõmme Sotsiaalmaja)</t>
    </r>
  </si>
  <si>
    <r>
      <t>Sotsiaaleluaseme teenus</t>
    </r>
    <r>
      <rPr>
        <sz val="8"/>
        <rFont val="Arial"/>
        <family val="2"/>
        <charset val="186"/>
      </rPr>
      <t xml:space="preserve"> (Nõmme Sotsiaalmaja)</t>
    </r>
  </si>
  <si>
    <r>
      <t>Tootegrupp: kultuuritegevus</t>
    </r>
    <r>
      <rPr>
        <sz val="8"/>
        <rFont val="Arial"/>
        <family val="2"/>
        <charset val="186"/>
      </rPr>
      <t xml:space="preserve"> (Pirita Vaba Aja Keskus)</t>
    </r>
  </si>
  <si>
    <r>
      <t>Noortekeskus</t>
    </r>
    <r>
      <rPr>
        <sz val="8"/>
        <rFont val="Arial"/>
        <family val="2"/>
        <charset val="186"/>
      </rPr>
      <t xml:space="preserve"> (Pirita Vaba Aja Keskus)</t>
    </r>
  </si>
  <si>
    <r>
      <t>Päevakeskuse teenused</t>
    </r>
    <r>
      <rPr>
        <sz val="8"/>
        <rFont val="Arial"/>
        <family val="2"/>
        <charset val="186"/>
      </rPr>
      <t xml:space="preserve"> (Pirita Vaba Aja Keskus)</t>
    </r>
  </si>
  <si>
    <r>
      <t>Tootegrupp: kultuuritegevus</t>
    </r>
    <r>
      <rPr>
        <sz val="8"/>
        <rFont val="Arial"/>
        <family val="2"/>
        <charset val="186"/>
      </rPr>
      <t xml:space="preserve"> (Salme Kultuurikeskus)</t>
    </r>
  </si>
  <si>
    <r>
      <t>Noortekeskus</t>
    </r>
    <r>
      <rPr>
        <sz val="8"/>
        <rFont val="Arial"/>
        <family val="2"/>
        <charset val="186"/>
      </rPr>
      <t xml:space="preserve"> (Põhja-Tallinna Noortekeskus)</t>
    </r>
  </si>
  <si>
    <r>
      <t>Päevakeskuse teenused</t>
    </r>
    <r>
      <rPr>
        <sz val="8"/>
        <rFont val="Arial"/>
        <family val="2"/>
        <charset val="186"/>
      </rPr>
      <t xml:space="preserve"> (Põhja-Tallinna Sotsiaalkeskus)</t>
    </r>
  </si>
  <si>
    <r>
      <t>Koduteenused</t>
    </r>
    <r>
      <rPr>
        <sz val="8"/>
        <rFont val="Arial"/>
        <family val="2"/>
        <charset val="186"/>
      </rPr>
      <t xml:space="preserve"> (Paljassaare Sotsiaalmaja)</t>
    </r>
  </si>
  <si>
    <r>
      <t>Kalmistuteenused</t>
    </r>
    <r>
      <rPr>
        <sz val="8"/>
        <rFont val="Arial"/>
        <family val="2"/>
        <charset val="186"/>
      </rPr>
      <t xml:space="preserve"> (Kadrioru Park)</t>
    </r>
  </si>
  <si>
    <t>Biometaani transpordisektoris tarbimise toetus</t>
  </si>
  <si>
    <t>Tootevaldkond: sport ja liikumisharrastus</t>
  </si>
  <si>
    <t>sellest sotsiaalmajutusüksused</t>
  </si>
  <si>
    <t>muud sotsiaalobjektid</t>
  </si>
  <si>
    <t>Kultuuri- ja Spordiameti haldusala</t>
  </si>
  <si>
    <t>6. Kultuuri- ja Spordiameti haldusala</t>
  </si>
  <si>
    <t>6.1. Kultuuri- ja Spordiamet</t>
  </si>
  <si>
    <t>6.9. Pirita Spordikeskus</t>
  </si>
  <si>
    <t>6.10. Tallinna Spordihall</t>
  </si>
  <si>
    <t>6.11. Kadrioru Staadion</t>
  </si>
  <si>
    <t>6.12. Kristiine Sport</t>
  </si>
  <si>
    <t>6.13. Nõmme Spordikeskus</t>
  </si>
  <si>
    <t>6.15. Tondiraba Spordikeskus</t>
  </si>
  <si>
    <t>6.14. Tallinna Spordikool</t>
  </si>
  <si>
    <t xml:space="preserve">Strateegiakeskuse haldusala </t>
  </si>
  <si>
    <t>sh Tallinna Lastekodu</t>
  </si>
  <si>
    <t>Tallinna Laste Turvakeskus</t>
  </si>
  <si>
    <r>
      <t>Tootegrupp: noorsootöö</t>
    </r>
    <r>
      <rPr>
        <sz val="8"/>
        <rFont val="Arial"/>
        <family val="2"/>
        <charset val="186"/>
      </rPr>
      <t xml:space="preserve"> (Tallinna Haridusamet)</t>
    </r>
  </si>
  <si>
    <t>Kultuuri- ja Spordiamet</t>
  </si>
  <si>
    <t>Spordiprojektide ja -organisatsioonide toetamine</t>
  </si>
  <si>
    <t>Jõe tn, Pronksi tn rekonstrueerimine</t>
  </si>
  <si>
    <t>Linnakantselei haldusala</t>
  </si>
  <si>
    <t>COVID-19 viiruse leviku ennetamise ja tõkestamisega kaasnevate kulude reserv</t>
  </si>
  <si>
    <t>Eelarvepositsioonid:</t>
  </si>
  <si>
    <t>Eelarvepositsioon:</t>
  </si>
  <si>
    <t>Ohtlike mänguväljakuelementide teisaldamine ja utiliseerimine</t>
  </si>
  <si>
    <t>Strateegiakeskus</t>
  </si>
  <si>
    <t>Linnavalitsus</t>
  </si>
  <si>
    <t>Linnakantselei haldus</t>
  </si>
  <si>
    <t xml:space="preserve">sellest </t>
  </si>
  <si>
    <t>Eesti Juristide Liit linnaelanikele tasuta õigusnõustamise korraldamise toetamiseks Eesti ülikoolides õppivate õigusteaduskonna üliõpilaste praktikana</t>
  </si>
  <si>
    <r>
      <t xml:space="preserve">Tootegrupp: arhiiviteenused </t>
    </r>
    <r>
      <rPr>
        <u/>
        <sz val="8"/>
        <rFont val="Arial"/>
        <family val="2"/>
        <charset val="186"/>
      </rPr>
      <t>(Tallinna Linnaarhiiv)</t>
    </r>
  </si>
  <si>
    <t>Strateegiline planeerimine</t>
  </si>
  <si>
    <t>Kommunikatsioon</t>
  </si>
  <si>
    <t>Välisrahastusega projekt "Rohelinnad - GoGreenRoutes““ (ü)</t>
  </si>
  <si>
    <t>Ettevõtlusvaldkonna eelarvepositsioonid</t>
  </si>
  <si>
    <t>eelarvepositsioon:</t>
  </si>
  <si>
    <t>2. Linnakantselei  haldusala</t>
  </si>
  <si>
    <t xml:space="preserve">2.1 Linnakantselei </t>
  </si>
  <si>
    <t>2.2 Linnaarhiiv</t>
  </si>
  <si>
    <t>3. Strateegiakeskuse haldusala</t>
  </si>
  <si>
    <t xml:space="preserve">3.1. Strateegiakeskus </t>
  </si>
  <si>
    <t>3.2. Tallinna Turud</t>
  </si>
  <si>
    <t>3.3. Tallinna Jäätmekeskus</t>
  </si>
  <si>
    <t>rohepöörde programm</t>
  </si>
  <si>
    <t>Intressid antud laenudelt</t>
  </si>
  <si>
    <t>7. Sotsiaal- ja Tervishoiuameti haldusala</t>
  </si>
  <si>
    <t>7.1. Sotsiaal- ja Tervishoiuamet</t>
  </si>
  <si>
    <t>7.2. Käo Tugikeskus</t>
  </si>
  <si>
    <t>7.3. Tallinna Lastekodu</t>
  </si>
  <si>
    <t>7.4. Tallinna Vaimse Tervise Keskus</t>
  </si>
  <si>
    <t>7.5. Iru Hooldekodu</t>
  </si>
  <si>
    <t>7.6. Tallinna Tugikeskus Juks</t>
  </si>
  <si>
    <t>7.7. Tallinna Sotsiaaltöö Keskus</t>
  </si>
  <si>
    <t>8. Linnavaraamet</t>
  </si>
  <si>
    <t>9. Transpordiamet</t>
  </si>
  <si>
    <t>10. Keskkonna- ja Kommunaalameti haldusala</t>
  </si>
  <si>
    <t>10.1. Keskkonna- ja Kommunaalamet</t>
  </si>
  <si>
    <t>10.2. Tallinna Loomaaed</t>
  </si>
  <si>
    <t>10.3. Tallinna Botaanikaaed</t>
  </si>
  <si>
    <t>10.4. Kadrioru Park</t>
  </si>
  <si>
    <t>11. Linnaplaneerimise Amet</t>
  </si>
  <si>
    <t>Tööjõukulude reserv</t>
  </si>
  <si>
    <t>programm "Minu Põhja-Tallinn"</t>
  </si>
  <si>
    <t>Strateegiakeskuse haldus</t>
  </si>
  <si>
    <r>
      <t xml:space="preserve">Taaskasutatavate ja ohtlike jäätmete käitlus </t>
    </r>
    <r>
      <rPr>
        <sz val="8"/>
        <rFont val="Arial"/>
        <family val="2"/>
        <charset val="186"/>
      </rPr>
      <t>(Strateegiakeskus, Tallinna Jäätmekeskus)</t>
    </r>
  </si>
  <si>
    <t>Teenused psüühiliste erivajadustega inimestele</t>
  </si>
  <si>
    <t>Ööpäevane üldhoolduse teenus*</t>
  </si>
  <si>
    <t>Tootegrupp: ringmajandus</t>
  </si>
  <si>
    <r>
      <t xml:space="preserve">Ringmajanduse arendamine </t>
    </r>
    <r>
      <rPr>
        <sz val="8"/>
        <rFont val="Arial"/>
        <family val="2"/>
        <charset val="186"/>
      </rPr>
      <t>(Strateegiakeskus)</t>
    </r>
  </si>
  <si>
    <t>Kesklinna uussisserändajate projekt – The project of immigrants of Tallinn City Center</t>
  </si>
  <si>
    <t>Välisrahastusega projekt „Abiks hoolduskoormusega inimestele“ (ü)</t>
  </si>
  <si>
    <t>Välisrahastusega projekt „CitySCAPE - linnasisene küberturvaline multimodaalne transpordi ökosüsteem" (ü)</t>
  </si>
  <si>
    <t>Projekt „Erivajadustega inimeste eluaseme füüsiline kohandamine“ (ü)</t>
  </si>
  <si>
    <t>* Eelarve täitmisel on linnavalitsusel õigus muuta summade jaotust rahvusvaheliste spordiürituste ja muude spordiprojektide üldsumma piires.</t>
  </si>
  <si>
    <t>* Eelarve täitmisel on õigus muuta summade jaotust eelarvepositsiooni üldsumma piires.</t>
  </si>
  <si>
    <t>Sport ja liikumisharrastus</t>
  </si>
  <si>
    <t>Mittetulundusühing Integratsiooni Ühiskondlik Algatuskeskus</t>
  </si>
  <si>
    <r>
      <t>Staadionid</t>
    </r>
    <r>
      <rPr>
        <sz val="8"/>
        <rFont val="Arial"/>
        <family val="2"/>
        <charset val="186"/>
      </rPr>
      <t xml:space="preserve"> (Kadrioru Staadion, Kultuuri- ja Spordiamet - Snelli Staadion)</t>
    </r>
  </si>
  <si>
    <r>
      <t xml:space="preserve">Ööpäevane üldhoolduse teenus </t>
    </r>
    <r>
      <rPr>
        <sz val="8"/>
        <rFont val="Arial"/>
        <family val="2"/>
        <charset val="186"/>
      </rPr>
      <t>(Nõmme Sotsiaalmaja)</t>
    </r>
  </si>
  <si>
    <t>IT-teenused (ü)*</t>
  </si>
  <si>
    <t>muud IT-teenused</t>
  </si>
  <si>
    <t>haridusasutuste IKT-keskkond</t>
  </si>
  <si>
    <t>geomaatika</t>
  </si>
  <si>
    <t>Esialgne eelarve</t>
  </si>
  <si>
    <t>Täpsustatud eelarve</t>
  </si>
  <si>
    <t xml:space="preserve">Linnavolikogu kantselei  </t>
  </si>
  <si>
    <t>LINNA TUGITEENUSED</t>
  </si>
  <si>
    <t>HARIDUS</t>
  </si>
  <si>
    <t>KULTUUR</t>
  </si>
  <si>
    <t>Muud valdkonnad</t>
  </si>
  <si>
    <t>NOORSOOTÖÖ</t>
  </si>
  <si>
    <t>SOTSIAALHOOLEKANNE</t>
  </si>
  <si>
    <t>TERVISHOID</t>
  </si>
  <si>
    <t>ETTEVÕTLUSKESKKOND</t>
  </si>
  <si>
    <t>LINNAMAJANDUS</t>
  </si>
  <si>
    <t>HEAKORD</t>
  </si>
  <si>
    <t>TEHNOVÕRGUD</t>
  </si>
  <si>
    <t>KESKKONNAKAITSE</t>
  </si>
  <si>
    <t>Linnavaraamet1</t>
  </si>
  <si>
    <t>LINNATRANSPORT</t>
  </si>
  <si>
    <t>Transpordiamet1</t>
  </si>
  <si>
    <t>Keskkonna- ja Kommunaalameti haldusala1</t>
  </si>
  <si>
    <t>TEED JA TÄNAVAD</t>
  </si>
  <si>
    <t>MUUD KOMMUNAALKULUD</t>
  </si>
  <si>
    <t>LINNAPLANEERIMINE</t>
  </si>
  <si>
    <t>Linnaplaneerimise Amet1</t>
  </si>
  <si>
    <t>AVALIK KORD</t>
  </si>
  <si>
    <t>Munitsipaalpolitsei Amet1</t>
  </si>
  <si>
    <t>LINNAOSADE RESERVFONDID</t>
  </si>
  <si>
    <t>LINNA JUHTIMINE</t>
  </si>
  <si>
    <t>Linna juhtimine</t>
  </si>
  <si>
    <t>Kultuur</t>
  </si>
  <si>
    <t>Muu majandus</t>
  </si>
  <si>
    <t>Ettevõtluskeskkond</t>
  </si>
  <si>
    <t>Muud kommunaalkulud</t>
  </si>
  <si>
    <t>Linnaplaneerimine</t>
  </si>
  <si>
    <t>Avalik kord</t>
  </si>
  <si>
    <t>Valdkonnad kokku</t>
  </si>
  <si>
    <t>Finantskulud</t>
  </si>
  <si>
    <t>Reservfond (linnavalitsus ja linnaosad)</t>
  </si>
  <si>
    <t>Kohtuvaidluste ja muude õiguslike vaidlustega seotud nõuete reserv</t>
  </si>
  <si>
    <t>Linna vara ja kohustustega seonduvate toimingute reserv</t>
  </si>
  <si>
    <t>Oma- ja kaasfinantseerimise ja välisprojektide ettevalmistamise reserv</t>
  </si>
  <si>
    <t>Tegevuskulud, v.a riigieelarve ja muude eraldiste arvelt</t>
  </si>
  <si>
    <t>Riigi ja muude institutsioonide toetuste arvelt tehtavad kulud</t>
  </si>
  <si>
    <t>Finantskulu (üld+PPP)</t>
  </si>
  <si>
    <t>Kulud ametiasutuste haldusalade lõikes</t>
  </si>
  <si>
    <r>
      <t>Linnaplaneerimise Amet</t>
    </r>
    <r>
      <rPr>
        <sz val="10"/>
        <color theme="0"/>
        <rFont val="Arial"/>
        <family val="2"/>
        <charset val="186"/>
      </rPr>
      <t>1</t>
    </r>
  </si>
  <si>
    <r>
      <t>Munitsipaalpolitsei Amet</t>
    </r>
    <r>
      <rPr>
        <sz val="10"/>
        <color theme="0"/>
        <rFont val="Arial"/>
        <family val="2"/>
        <charset val="186"/>
      </rPr>
      <t>1</t>
    </r>
  </si>
  <si>
    <t>Ametiasutuste haldusalad kokku</t>
  </si>
  <si>
    <t>Linnavalitsuse reservfond</t>
  </si>
  <si>
    <t>Kulud linnakassa arvelt</t>
  </si>
  <si>
    <t>Töötasu</t>
  </si>
  <si>
    <t>Kulud omatulude arvelt</t>
  </si>
  <si>
    <t>töötasu</t>
  </si>
  <si>
    <t>MAAS Tallinn - "Targa linna tippkeskus" Infovahetuse platvorm ühis- ja nõudepõhise transpordisüsteemi haldamiseks</t>
  </si>
  <si>
    <t>Välisrahastusega projekt MAAS Tallinn - "Targa linna tippkeskus" Infovahetuse platvorm ühis- ja nõudepõhise transpordisüsteemi haldamiseks (ü)</t>
  </si>
  <si>
    <t>Tulu varude müügist</t>
  </si>
  <si>
    <t>raske ja sügava puudega lastele tugiisiku-, lapsehoiu- ja transporditeenuse arendamine ja pakkumine kohalikus omavalitsuses</t>
  </si>
  <si>
    <t>tugiteenused perepõhise asendushoolduse pakkujatele</t>
  </si>
  <si>
    <t>kogemusnõustamine</t>
  </si>
  <si>
    <t>7.8. Tallinna Kiirabi</t>
  </si>
  <si>
    <t>7.9. Tallinna Laste Turvakeskus</t>
  </si>
  <si>
    <t>kinnise lasteasutuse teenus</t>
  </si>
  <si>
    <t>Kestliku arengu eesmärkide elluviimine linnades – SDGs in cities“ (Global Goals for Cities)</t>
  </si>
  <si>
    <t>Tallinna-Helsingi digitaalne dünaamiline rohemudel - Green Twins (Rohelised kaksiklinnad)</t>
  </si>
  <si>
    <t>Hoone suutlikkuse audit reaalajas - DigiAudit</t>
  </si>
  <si>
    <t>Välisrahastusega projekt "Tallinna-Helsingi digitaalne dünaamiline rohemudel - Green Twins (Rohelised kaksiklinnad)" (ü)</t>
  </si>
  <si>
    <t>Välisrahastusega projekt "Hoone suutlikkuse audit reaalajas - DigiAudit" (ü)</t>
  </si>
  <si>
    <t xml:space="preserve">toetus esimese haiguspäeva hüvitamiseks </t>
  </si>
  <si>
    <t>muud eespool nimetamata tulud majandustegevusest</t>
  </si>
  <si>
    <t>Eesti Ööjooks (Mittetulundusühing Rakvere Maraton)</t>
  </si>
  <si>
    <t>Sünnitoetus (a)</t>
  </si>
  <si>
    <t>tänavavalgustuse juhtimissüsteemi rent</t>
  </si>
  <si>
    <t xml:space="preserve">Lasnamäe rattatee ühendus kesklinnaga I etapp
</t>
  </si>
  <si>
    <t>Toetus Eesti Kirikute Nõukogule</t>
  </si>
  <si>
    <t>üldhariduskoolidele COVID-19 kriisi tõttu tekkinud õpilünkade tasandamiseks vajaliku lisaõppe tagamise toetus</t>
  </si>
  <si>
    <t>Konkurss „Tallinna talent“</t>
  </si>
  <si>
    <t>sellest Konkursi „Tallinna talent“ stipendium</t>
  </si>
  <si>
    <t>%</t>
  </si>
  <si>
    <t>Kristiine Linnaosa Valitsus</t>
  </si>
  <si>
    <t>Eelarvepositsioon</t>
  </si>
  <si>
    <t>Lastehoid ja alusharidus</t>
  </si>
  <si>
    <t>Huviharidus</t>
  </si>
  <si>
    <t>haridustöötajate tänamine ja tunnustamine õpetajate päeval</t>
  </si>
  <si>
    <t>Asendusistutustasud</t>
  </si>
  <si>
    <t>Saadud kindlustushüvitised</t>
  </si>
  <si>
    <t>Leppetrahvid</t>
  </si>
  <si>
    <t xml:space="preserve">Linnavolikogu Kantselei  </t>
  </si>
  <si>
    <t>puhastusteenused</t>
  </si>
  <si>
    <t>12. Munitsipaalpolitsei Amet (Tallinna Politseiorkester)</t>
  </si>
  <si>
    <t>13. Haabersti Linnaosa Valitsuse haldusala</t>
  </si>
  <si>
    <t>13.1. Haabersti Linnaosa Valitsus</t>
  </si>
  <si>
    <t>13.2. Haabersti Vaba Aja Keskus</t>
  </si>
  <si>
    <t>13.3. Haabersti Päevakeskus</t>
  </si>
  <si>
    <t>14. Tallinna Kesklinna Valitsuse haldusala</t>
  </si>
  <si>
    <t>14.1. Tallinna Kesklinna Valitsus</t>
  </si>
  <si>
    <t>14.2. Tallinna Kesklinna Sotsiaalkeskus</t>
  </si>
  <si>
    <t>14.3. Raua Saun</t>
  </si>
  <si>
    <t>14.4. Kesklinna Vaba Aja Keskus</t>
  </si>
  <si>
    <t>15. Kristiine Linnaosa Valitsuse haldusala</t>
  </si>
  <si>
    <t>15.1. Kristiine Linnaosa Valitsus</t>
  </si>
  <si>
    <t>15.2. Kristiine Tegevuskeskus</t>
  </si>
  <si>
    <t>16. Lasnamäe Linnaosa Valitsuse haldusala</t>
  </si>
  <si>
    <t>16.1. Lasnamäe Linnaosa Valitsus</t>
  </si>
  <si>
    <t>16.2. Lasnamäe Spordikompleks</t>
  </si>
  <si>
    <t>16.3. Kultuurikeskus Lindakivi</t>
  </si>
  <si>
    <t>16.4. Lasnamäe Sotsiaalkeskus</t>
  </si>
  <si>
    <t>16.5. Lasnamäe Noortekeskus</t>
  </si>
  <si>
    <t>16.6. Lasnamäe Saun</t>
  </si>
  <si>
    <t>16.7. Lasnamäe Lastekeskus</t>
  </si>
  <si>
    <t>17. Mustamäe Linnaosa Valitsuse haldusala</t>
  </si>
  <si>
    <t>17.1. Mustamäe Linnaosa Valitsus</t>
  </si>
  <si>
    <t>spordiasutuste tasulised teenused</t>
  </si>
  <si>
    <t>17.2. Mustamäe Kultuurikeskus Kaja</t>
  </si>
  <si>
    <t>muu müügitulu</t>
  </si>
  <si>
    <t>17.3. Mustamäe Päevakeskus</t>
  </si>
  <si>
    <t>18. Nõmme Linnaosa Valitsuse haldusala</t>
  </si>
  <si>
    <t>18.1. Nõmme Linnaosa Valitsus</t>
  </si>
  <si>
    <t>18.2. Nõmme Kultuurikeskus</t>
  </si>
  <si>
    <t>18.3. Nõmme Vaba Aja Keskus</t>
  </si>
  <si>
    <t>18.4. Nõmme Sotsiaalmaja</t>
  </si>
  <si>
    <t>19. Pirita Linnaosa Valitsuse haldusala</t>
  </si>
  <si>
    <t>19.1. Pirita Linnaosa Valitsus</t>
  </si>
  <si>
    <t>19.2. Pirita Vaba Aja Keskus</t>
  </si>
  <si>
    <t>20. Põhja-Tallinna Valitsuse haldusala</t>
  </si>
  <si>
    <t>20.1. Põhja-Tallinna Valitsus</t>
  </si>
  <si>
    <t>20.2. Põhja-Tallinna Sotsiaalkeskus</t>
  </si>
  <si>
    <t>20.3. Paljassaare Sotsiaalmaja</t>
  </si>
  <si>
    <t>20.4. Salme Kultuurikeskus</t>
  </si>
  <si>
    <t>20.5. Põhja-Tallinna Noortekeskus</t>
  </si>
  <si>
    <t xml:space="preserve">üldhariduskoolidele toetus COVID-19 kiirtestide soetamiseks </t>
  </si>
  <si>
    <t>kultuuriranitsa toetus</t>
  </si>
  <si>
    <t>Tallinna Linnateatrile tegevuskuludeks</t>
  </si>
  <si>
    <t>energiahinna tõusu leevendusmeede (Sotsiaal- ja Tervishoiuamet)</t>
  </si>
  <si>
    <t>muinsuskaitsealaste riiklike kohustuste täitmine</t>
  </si>
  <si>
    <t>koolide ventilatsioonide parendustööd</t>
  </si>
  <si>
    <t>Rannamõisa tee juhtumipõhine toetus</t>
  </si>
  <si>
    <t xml:space="preserve">Merivälja Lasteaed </t>
  </si>
  <si>
    <t>hoiuste suurendamiseks</t>
  </si>
  <si>
    <t>Ukraina sõjapõgenikele vältimatu abi andmise
kulude hüvitamine</t>
  </si>
  <si>
    <t>Toetus välisprojektide kaasfinantseerimiseks</t>
  </si>
  <si>
    <t>"Bicification: jalgrattakrediit"</t>
  </si>
  <si>
    <t>Tallinn Card City Guide mobiilirakendus</t>
  </si>
  <si>
    <t>Tallinn - Euroopa roheline pealinn</t>
  </si>
  <si>
    <t>Kliimamuutuste leevendamise viisid - KNOWING</t>
  </si>
  <si>
    <t>School Food for Change</t>
  </si>
  <si>
    <t xml:space="preserve">Mobiilsusteenuse (MAAS) rakendamine Eesti linnade ühis- ja eratranspordi ühendamiseks </t>
  </si>
  <si>
    <t>Ülemiste terminali ja Vanasadama vaheline trammitee</t>
  </si>
  <si>
    <t>Projekt "CoastNet LIFE - rannikuelupaikade taastamine"</t>
  </si>
  <si>
    <t>Jakob Westholmi Gümnaasiumi juurdeehitus</t>
  </si>
  <si>
    <t>Tallinna Reaalkooli juurdeehitus</t>
  </si>
  <si>
    <t>Tallinna Haigla</t>
  </si>
  <si>
    <t>Uute trammide soetamine (Tallinna Linnatranspordi AS)</t>
  </si>
  <si>
    <r>
      <t>Annetused (</t>
    </r>
    <r>
      <rPr>
        <b/>
        <sz val="8"/>
        <rFont val="Arial"/>
        <family val="2"/>
        <charset val="186"/>
      </rPr>
      <t>Tallinna Lastekodu)</t>
    </r>
  </si>
  <si>
    <t>tulu õenduskorpusest (dementsete osakond, leping Haigekassaga)</t>
  </si>
  <si>
    <t xml:space="preserve">õenduskorpus-dementsete osakond </t>
  </si>
  <si>
    <t>Ringmajanduse väärtusahelate süsteemsed paikkondlikud laiendused - TREASOURCE</t>
  </si>
  <si>
    <t>Eelarve valdkond</t>
  </si>
  <si>
    <t>Haldusala</t>
  </si>
  <si>
    <t>Arengustrateegia 
valdkond 
(vali rippmenüüst)</t>
  </si>
  <si>
    <t>Tegevusprogramm 
(vali rippmenüüst)</t>
  </si>
  <si>
    <t>Esialgne 
eelarve</t>
  </si>
  <si>
    <t>I lisaeelarve</t>
  </si>
  <si>
    <t>II lisaeelarve</t>
  </si>
  <si>
    <t>Tööjõukulude reservi jaotus</t>
  </si>
  <si>
    <t>elanikele tasuta õigusnõustamise teenuse osutamine</t>
  </si>
  <si>
    <t>Toetus Eestimaa Rahvuste Ühendusele</t>
  </si>
  <si>
    <t>sellest planeeringud ning linnaruumi kvaliteedi tõstmine</t>
  </si>
  <si>
    <t>arengu kavandamine</t>
  </si>
  <si>
    <t>innovaatiliste parkimislahenduste väljatöötamine</t>
  </si>
  <si>
    <t>Rahvusvahelise koostöö arendamine ja liikmemaksud</t>
  </si>
  <si>
    <t xml:space="preserve">Tartu Ülikooli väärikate ülikooli tegevuse toetamine Tallinnas </t>
  </si>
  <si>
    <t>TalTech targa linna professuuri toetamine</t>
  </si>
  <si>
    <t>Välisrahastusega projekt "Kestliku arengu eesmärkide elluviimine linnades - SDGs in cities" (Global Goals for Cities) (ü)</t>
  </si>
  <si>
    <t>Välisrahastusega projekt "Bicification: jalgrattakrediit" (ü)</t>
  </si>
  <si>
    <t>Välisrahastusega projekt "Kliimamuutuste leevendamise viisid-KNOWING" (ü)</t>
  </si>
  <si>
    <r>
      <t>Väikeettevõtlus</t>
    </r>
    <r>
      <rPr>
        <vertAlign val="superscript"/>
        <sz val="10"/>
        <rFont val="Arial"/>
        <family val="2"/>
        <charset val="186"/>
      </rPr>
      <t>1</t>
    </r>
  </si>
  <si>
    <r>
      <rPr>
        <i/>
        <vertAlign val="superscript"/>
        <sz val="9"/>
        <rFont val="Arial"/>
        <family val="2"/>
        <charset val="186"/>
      </rPr>
      <t xml:space="preserve">1 </t>
    </r>
    <r>
      <rPr>
        <i/>
        <sz val="9"/>
        <rFont val="Arial"/>
        <family val="2"/>
        <charset val="186"/>
      </rPr>
      <t>määrata kuludest ülekantavaks</t>
    </r>
  </si>
  <si>
    <r>
      <t>Ettevõtluskeskkonna turundus</t>
    </r>
    <r>
      <rPr>
        <vertAlign val="superscript"/>
        <sz val="10"/>
        <rFont val="Arial"/>
        <family val="2"/>
        <charset val="186"/>
      </rPr>
      <t>2</t>
    </r>
  </si>
  <si>
    <r>
      <rPr>
        <i/>
        <vertAlign val="superscript"/>
        <sz val="10"/>
        <rFont val="Arial"/>
        <family val="2"/>
        <charset val="186"/>
      </rPr>
      <t>2</t>
    </r>
    <r>
      <rPr>
        <i/>
        <sz val="10"/>
        <rFont val="Arial"/>
        <family val="2"/>
        <charset val="186"/>
      </rPr>
      <t>määrata kuludest ülekantavaks</t>
    </r>
  </si>
  <si>
    <t>Vanalinna ettevõtluse elavdamise toetus</t>
  </si>
  <si>
    <t>Sihtkoha tuntus</t>
  </si>
  <si>
    <t>Meeldejääv külastuselamus</t>
  </si>
  <si>
    <t>Kestlik ja andmepõhine turismiarendus</t>
  </si>
  <si>
    <t>Välisrahastusega projekt "Tallinn Card City Guide mobiilirakendus"</t>
  </si>
  <si>
    <r>
      <t xml:space="preserve">Väikeettevõtluse toetamine (ü), </t>
    </r>
    <r>
      <rPr>
        <i/>
        <u/>
        <sz val="10"/>
        <rFont val="Arial"/>
        <family val="2"/>
        <charset val="186"/>
      </rPr>
      <t>sh</t>
    </r>
  </si>
  <si>
    <t>Sihtasutus Tallinna Teaduspark TEHNOPOL, sh:</t>
  </si>
  <si>
    <t>targa linna innovatsiooniprojektid</t>
  </si>
  <si>
    <t>ESA BIC kosmose äriinkubatsioon</t>
  </si>
  <si>
    <t>MTÜ Eesti Disainikeskus</t>
  </si>
  <si>
    <t>Revali Raeapteegi Muuseumi Ühing (end. MTÜ Revali Raeapteegi Muuseumiühing)</t>
  </si>
  <si>
    <t>MTÜ Latitude 59</t>
  </si>
  <si>
    <t>Eesti Kulinaaria Instituut</t>
  </si>
  <si>
    <t>Välisrahastusega projekt "Ringmajanduse väärtusahelate süsteemsed paikkondlikud laiendused - TREASOURCE"</t>
  </si>
  <si>
    <t>Toode</t>
  </si>
  <si>
    <t>Tootegrupp: põhi- ja üldkeskharidus</t>
  </si>
  <si>
    <t>pilootprojekt "Rattaga kooli!"</t>
  </si>
  <si>
    <r>
      <t>Põhi- ja üldkeskharidus</t>
    </r>
    <r>
      <rPr>
        <vertAlign val="superscript"/>
        <sz val="10"/>
        <rFont val="Arial"/>
        <family val="2"/>
        <charset val="186"/>
      </rPr>
      <t>2</t>
    </r>
  </si>
  <si>
    <t>Kutseharidus</t>
  </si>
  <si>
    <t>eesti keele süvaõpe haridusasutuste töötajatele</t>
  </si>
  <si>
    <t>arendustegevused</t>
  </si>
  <si>
    <t>Rohelise Pealinna – haridusvaldkonna tegevused</t>
  </si>
  <si>
    <t>Toetus EESTI ÕIGUSVASTASELT REPRESSEERITUTE LIIDU MEMENTO TALLINNA ÜHENDUSELE</t>
  </si>
  <si>
    <t>Toetus Püha Johannese Kooli Sihtasutusele</t>
  </si>
  <si>
    <t>Välisrahastusega projekt „School Food for Change“ (ü)</t>
  </si>
  <si>
    <t>Koolitusteenus</t>
  </si>
  <si>
    <t>Raamatukogud</t>
  </si>
  <si>
    <t>Kultuuritegevus</t>
  </si>
  <si>
    <t>Muuseumid</t>
  </si>
  <si>
    <t>Kirjanduskeskus</t>
  </si>
  <si>
    <t>Teater</t>
  </si>
  <si>
    <t>Kontsertteenus</t>
  </si>
  <si>
    <t>Wiiralti preemia</t>
  </si>
  <si>
    <t>Peterburi kohtumised</t>
  </si>
  <si>
    <t>Muusikalinn</t>
  </si>
  <si>
    <t>sellest Mittetulundusühing Noor Muusik ja Eesti Muusika- ja Teatriakadeemia (Rahvusvaheline konkurss Noor Muusik – Tallinn 2022)</t>
  </si>
  <si>
    <t>Mittetulundusühing Pimedate Ööde Filmifestival (Music Meets Film )</t>
  </si>
  <si>
    <t>Jazzkaare Sõprade Ühing (Jazzilavad)</t>
  </si>
  <si>
    <t>Jazzkaare Sõprade Ühing (Laste Jazzifestival)</t>
  </si>
  <si>
    <t>Shiftworks OÜ (Lõimumisprogramm)</t>
  </si>
  <si>
    <t>Shiftworks OÜ (Eesti Muusikaturu fookuspäev)</t>
  </si>
  <si>
    <t>Eesti Kooriühing (Tallinna noortekooride festival )</t>
  </si>
  <si>
    <t>Koolinoorte klassikalise muusika festival KRATT</t>
  </si>
  <si>
    <t>Sihtasutus Eesti Kontsert (kontserdid koolides)</t>
  </si>
  <si>
    <t>Festival Big Bang</t>
  </si>
  <si>
    <t>Laulu- ja tantsupeo protsessis osalevate kollektiivide toetamine</t>
  </si>
  <si>
    <t>Muusikavaldkonna projektide toetamine</t>
  </si>
  <si>
    <t>WTA tennise turniir (Mittetulundusühing Eesti Tennise Liit)</t>
  </si>
  <si>
    <t>sellest Tallinna Rattamaraton</t>
  </si>
  <si>
    <t>sellest Eesti Taekwondo Föderatsioon</t>
  </si>
  <si>
    <t>sellest Eesti Seeniorispordi ja Spordiveteranide Liit</t>
  </si>
  <si>
    <t>annetused</t>
  </si>
  <si>
    <r>
      <t xml:space="preserve">Noorte tugiprogramm </t>
    </r>
    <r>
      <rPr>
        <sz val="8"/>
        <rFont val="Arial"/>
        <family val="2"/>
        <charset val="186"/>
      </rPr>
      <t>(Tallinna Laste Turvakeskus)</t>
    </r>
  </si>
  <si>
    <r>
      <t xml:space="preserve">Kinnise lasteasutuse teenus </t>
    </r>
    <r>
      <rPr>
        <sz val="8"/>
        <rFont val="Arial"/>
        <family val="2"/>
        <charset val="186"/>
      </rPr>
      <t>(Tallinna Laste Turvakeskus)</t>
    </r>
    <r>
      <rPr>
        <sz val="10"/>
        <rFont val="Arial"/>
        <family val="2"/>
        <charset val="186"/>
      </rPr>
      <t xml:space="preserve"> (ü)</t>
    </r>
  </si>
  <si>
    <r>
      <rPr>
        <sz val="10"/>
        <rFont val="Arial"/>
        <family val="2"/>
        <charset val="186"/>
      </rPr>
      <t>Ööpäevane erihoolekandeteenus sügava liitpuudega inimestele</t>
    </r>
    <r>
      <rPr>
        <sz val="8"/>
        <rFont val="Arial"/>
        <family val="2"/>
        <charset val="186"/>
      </rPr>
      <t xml:space="preserve"> (Tallinna Lastekodu)</t>
    </r>
  </si>
  <si>
    <r>
      <t>Rehabilitatsiooniteenus</t>
    </r>
    <r>
      <rPr>
        <sz val="8"/>
        <rFont val="Arial"/>
        <family val="2"/>
        <charset val="186"/>
      </rPr>
      <t xml:space="preserve"> (Tallinna Lastekodu)</t>
    </r>
  </si>
  <si>
    <r>
      <t xml:space="preserve">Tugiteenused perepõhise asendushoolduse pakkujatele </t>
    </r>
    <r>
      <rPr>
        <sz val="8"/>
        <rFont val="Arial"/>
        <family val="2"/>
        <charset val="186"/>
      </rPr>
      <t>(Tallinna Lastekodu)</t>
    </r>
  </si>
  <si>
    <t xml:space="preserve">Eelarvepositsioon: </t>
  </si>
  <si>
    <t>Üüritoetus eluruumi tagamise teenuse alternatiivina</t>
  </si>
  <si>
    <t>Sotsiaalhoolekanne1</t>
  </si>
  <si>
    <t>Erakorralised kulud eestkoste ülesande täitmiseks</t>
  </si>
  <si>
    <t>õppeaasta alguse toetus (end.nimetus ranitsatoetus)</t>
  </si>
  <si>
    <t>Sotsiaalvaldkonna töötajate psühholoogiline nõustamine Tallinna linna asutustes</t>
  </si>
  <si>
    <t>Juubelikonverents "Hoolekanne 30"</t>
  </si>
  <si>
    <t>Rahvusvahelise kaitse saaja vastuvõtmise toetamine (ü)</t>
  </si>
  <si>
    <t>VANURITE ENESEABI- JA NÕUSTAMISÜHING</t>
  </si>
  <si>
    <t>TALLINNA PUUETEGA INIMESTE KODA</t>
  </si>
  <si>
    <t>Toetus Harjumaa Lasterikkad MTÜ-le</t>
  </si>
  <si>
    <t>Toetus MTÜ-le Tänavatöö</t>
  </si>
  <si>
    <t>Tervishoid1</t>
  </si>
  <si>
    <t>Mittetulundusühing Eesti HIV-positiivsete Võrgustik</t>
  </si>
  <si>
    <t>toetus "Hoovid korda"</t>
  </si>
  <si>
    <t>toetus "Roheline õu""</t>
  </si>
  <si>
    <t>toetus "Fassaadid korda"</t>
  </si>
  <si>
    <t>muud renoveerimistoetused korteriühistutele (a)</t>
  </si>
  <si>
    <t>rohepöörde toetus</t>
  </si>
  <si>
    <t>rattamajade toetus (rattastrateegia)</t>
  </si>
  <si>
    <t>* Eelarve täitmisel on valdkonna abilinnapeal õigus muuta summade jaotust toetuste üldsumma piires.</t>
  </si>
  <si>
    <t>Kirikute restaureerimise toetus</t>
  </si>
  <si>
    <t>* Eelarve täitmisel on lubatud soetada fooriobjektide hooldusremondi teostamiseks vajalikku materiaalset ja/või immateriaalset põhivara.
Eelarve täitmisel on valdkonna abilinnapeal õigus muuta summade jaotust eelarvepositsiooni üldsumma piires.</t>
  </si>
  <si>
    <t>Tootegrupp: parkimiskorraldus (a)</t>
  </si>
  <si>
    <t>liiklussimulatsioonimudel (ü)</t>
  </si>
  <si>
    <t>välisrahastuse arvelt    100%</t>
  </si>
  <si>
    <t>Välisrahastusega projekt MAAS - "Mobiilsusteenuse (MAAS) rakendamine Eesti linnade ühis- ja eratranspordi ühendamiseks" (ü)</t>
  </si>
  <si>
    <t>välisrahastuse arvelt   50%</t>
  </si>
  <si>
    <t>Loomaaed</t>
  </si>
  <si>
    <t>Erakorraliste ilmastikuolude ja teede erakorralise puhastuse reserv</t>
  </si>
  <si>
    <t>spordiparkide jooksev remont ja hooldus</t>
  </si>
  <si>
    <t>Harju tänava, Tondiraba pargi, Mustamäe ja Nõmme teisaldatavad jääväljakud</t>
  </si>
  <si>
    <t>toetuse arvelt välisprojektide kaasfinantseerimiseks</t>
  </si>
  <si>
    <r>
      <t>Kirikurenessansi programm ja muud restaureerimised</t>
    </r>
    <r>
      <rPr>
        <sz val="10"/>
        <rFont val="Arial"/>
        <family val="2"/>
        <charset val="186"/>
      </rPr>
      <t xml:space="preserve"> </t>
    </r>
    <r>
      <rPr>
        <sz val="8"/>
        <rFont val="Arial"/>
        <family val="2"/>
        <charset val="186"/>
      </rPr>
      <t>(esialgses eelarves eelarvepositsioonid "Restaureerimistoetused" ja "Kirikute restaureerimise toetus")</t>
    </r>
  </si>
  <si>
    <t>Tallinna Politseiorkester</t>
  </si>
  <si>
    <r>
      <t xml:space="preserve">Projektid </t>
    </r>
    <r>
      <rPr>
        <sz val="8"/>
        <rFont val="Arial"/>
        <family val="2"/>
        <charset val="186"/>
      </rPr>
      <t>(Haabersti Vaba Aja Keskus)</t>
    </r>
  </si>
  <si>
    <r>
      <t>Laste päevakeskuse teenused</t>
    </r>
    <r>
      <rPr>
        <sz val="8"/>
        <rFont val="Arial"/>
        <family val="2"/>
        <charset val="186"/>
      </rPr>
      <t xml:space="preserve"> (Tallinna Kesklinna Sotsiaalkeskus)</t>
    </r>
  </si>
  <si>
    <t>Kadaka staadion</t>
  </si>
  <si>
    <t>sellest projekt "Piirdeaiad korda!"</t>
  </si>
  <si>
    <t>Pirita kloostri varemete haldamine</t>
  </si>
  <si>
    <t>V1_ETTEVÕTLUSKESKKOND</t>
  </si>
  <si>
    <t>V1_TP.1: Ettevõtlik elustiil, kasvuambitsiooniga ettevõtjad, tipptasemel teadmised ja oskused</t>
  </si>
  <si>
    <t>V2_TP.1: Tipptasemel juhtimine</t>
  </si>
  <si>
    <t>V3_TP.1: Mitmekesine ja elurikas linnaloodus</t>
  </si>
  <si>
    <t>V4_TP.1: Kohalolek</t>
  </si>
  <si>
    <t>V5_TP.1: Rikkalik ja kättesaadav kultuurikalender</t>
  </si>
  <si>
    <t>V6_TP.1: Terviklik ja ohutu tänavaruum</t>
  </si>
  <si>
    <t>V7_TP.1: Haljastu nutikas eluring</t>
  </si>
  <si>
    <t>V8_TP.1: Arengustsenaariumid, planeerimise põhimõtted ja juhised</t>
  </si>
  <si>
    <t>V9_TP.1: Otstarbekalt kasutatud linnamaa</t>
  </si>
  <si>
    <t>V10_TP.1: Laste heaolu</t>
  </si>
  <si>
    <t>V11_TP.1: Ülelinnaline spordi- ja liikumispaikade võrk</t>
  </si>
  <si>
    <t>V12_TP.1: Veevarustus</t>
  </si>
  <si>
    <t>V13_TP.1: Laste ja noorte tervise ning turvalise arengu tagamine</t>
  </si>
  <si>
    <t>V14_TP.1: Inimesekeskne teenuste disain</t>
  </si>
  <si>
    <t>V2_HARIDUS</t>
  </si>
  <si>
    <t>V1_TP.2: Rahvusvahelistumisele avatud keskkond ning koostöö valdkonna huvigruppide vahel</t>
  </si>
  <si>
    <t>V2_TP.2: Pädev ja pühendunud õpetaja</t>
  </si>
  <si>
    <t>V3_TP.2: Puhas vesi</t>
  </si>
  <si>
    <t>V4_TP.2: Ennetustöö</t>
  </si>
  <si>
    <t>V5_TP.2: Ligipääsetav mälu ja elukestev õpe</t>
  </si>
  <si>
    <t>V6_TP.2: Kiire ja mugav ühistransport</t>
  </si>
  <si>
    <t>V7_TP.2: Kalmistud ja matuseteenused</t>
  </si>
  <si>
    <t>V8_TP.2: Üld- ja teemaplaneeringud ning linnaruumilise arengu ettepanekud</t>
  </si>
  <si>
    <t>V9_TP.2: Heaperemehelikult majandatud ja keskkonnasäästlik kinnisvarakeskkond</t>
  </si>
  <si>
    <t>V10_TP.2: Puuetega inimeste hoolekanne</t>
  </si>
  <si>
    <t>V11_TP.2: Organiseeritud sporditegevus</t>
  </si>
  <si>
    <t>V12_TP.2: Reoveesüsteemid</t>
  </si>
  <si>
    <t>V13_TP.2: Kõigile abivajajatele kättesaadavad parimal nüüdisaegsel tasemel tervishoiuteenused</t>
  </si>
  <si>
    <t>V14_TP.2: Andmepõhine juhtimine</t>
  </si>
  <si>
    <t>V3_KESKKONNAHOID</t>
  </si>
  <si>
    <t>V1_TP.3: Targa linna programm</t>
  </si>
  <si>
    <t>V2_TP.3: Hariduslike erivajadustega õpilaste areng</t>
  </si>
  <si>
    <t>V3_TP.3: Puhas õhk</t>
  </si>
  <si>
    <t>V4_TP.3: Järelevalve</t>
  </si>
  <si>
    <t>V5_TP.3: Mitmekülgsed võimalused kultuuritegevuseks</t>
  </si>
  <si>
    <t>V6_TP.3: Mugav rattaliiklus</t>
  </si>
  <si>
    <t>V7_TP.3: Laste mängukohad</t>
  </si>
  <si>
    <t>V8_TP.3: Detailplaneeringud</t>
  </si>
  <si>
    <t>V9_TP.3: Abivajajatele ja linnale olulistele töötajatele on tagatud elamispinnad</t>
  </si>
  <si>
    <t>V10_TP.3: Toimetulekuraskutes inimeste hoolekanne ja hoolekanne kriisisituatsioonides</t>
  </si>
  <si>
    <t>V11_TP.3: Mainekas spordisündmuste võõrustaja</t>
  </si>
  <si>
    <t>V12_TP.3: Sademeveekanalisatsioon</t>
  </si>
  <si>
    <t>V13_TP.3: Tervist toetav elu-, töö- ja õpikeskkond</t>
  </si>
  <si>
    <t>V14_TP.3: Strateegiline ja finantsplaneerimine</t>
  </si>
  <si>
    <t>V4_KORRAKAITSE</t>
  </si>
  <si>
    <t>V1_TP.4: Atraktiivne füüsiline keskkond ettevõtluse arenguks</t>
  </si>
  <si>
    <t>V2_TP.4: Inspireeriv ja uuenduslik õppimine</t>
  </si>
  <si>
    <t>V3_TP.4: Vähem müra</t>
  </si>
  <si>
    <t xml:space="preserve">V5_TP.4: Laulu- ja tantsupidude linn </t>
  </si>
  <si>
    <t>V6_TP.4: Uued tehnoloogiad ja teenused</t>
  </si>
  <si>
    <t>V7_TP.4: Loomakaitse</t>
  </si>
  <si>
    <t>V8_TP.4: Ehitustegevus</t>
  </si>
  <si>
    <t>V9_TP.4: Hästi toimiv koostöö erasektoriga kinnisvara korrashoidmisel ja arendamisel (koostöös ettevõtluskeskkonna valdkonnaga)</t>
  </si>
  <si>
    <t>V10_TP.4: Eakate hoolekanne</t>
  </si>
  <si>
    <t>V11_TP.4: Teadlikkuse parandamine</t>
  </si>
  <si>
    <t>V12_TP.4: Energiasüsteemid</t>
  </si>
  <si>
    <t>V13_TP.4: Tervislikum eluviis, tervislikud valikud</t>
  </si>
  <si>
    <t>V14_TP.4: Selge kommunikatsioon</t>
  </si>
  <si>
    <t>V5_KULTUUR</t>
  </si>
  <si>
    <t>V1_TP.5: Turismisihtkoha tuntus ja tasakaalustatud turismiarendus</t>
  </si>
  <si>
    <t>V2_TP.5: Individuaalne õpitee</t>
  </si>
  <si>
    <t>V3_TP.5: Jäätmehooldus</t>
  </si>
  <si>
    <t>V5_TP.5: Kultuuriliselt lõimunud Tallinn</t>
  </si>
  <si>
    <t>V6_TP.5: Regionaalne ja rahvusvaheline liikuvus</t>
  </si>
  <si>
    <t>V7_TP.5: Heakord</t>
  </si>
  <si>
    <t>V8_TP.5: Geomaatika</t>
  </si>
  <si>
    <t>V9_TP.5: Korteriomanike ja -ühistute nõustamine, sh vaidluste ja koostööprobleemide lahendamine ning toetusmeetmete rakendamine</t>
  </si>
  <si>
    <t>V10_TP.5: Sotsiaaltoetused</t>
  </si>
  <si>
    <t>V12_TP.5: Tänavavalgustus</t>
  </si>
  <si>
    <t>V14_TP.5: Kvaliteetne juhtimine ja kompetentsed töötajad</t>
  </si>
  <si>
    <t>V6_LIIKUVUS</t>
  </si>
  <si>
    <t>V2_TP.6: Tasakaalus ja mitmekesine haridusvõrk</t>
  </si>
  <si>
    <t>V3_TP.6: Keskkonnateadlikud linlased</t>
  </si>
  <si>
    <t>V5_TP.6: Kodanikuühendused lisavad naabruskondadele värvi</t>
  </si>
  <si>
    <t>V6_TP.6: Linnakeskkonda sobiv parkimine</t>
  </si>
  <si>
    <t>V8_TP.6: Muinsuskaitse</t>
  </si>
  <si>
    <t>V9_TP.6: Maatoimingud</t>
  </si>
  <si>
    <t>V14_TP.6: Regionaalne ja rahvusvaheline koostöö</t>
  </si>
  <si>
    <t>V7_LINNAMAASTIK</t>
  </si>
  <si>
    <t>V2_TP.7: Tänapäevane ja arendav noorsootöö</t>
  </si>
  <si>
    <t>V6_TP.7: Liikluse juhtimine ja planeerimine</t>
  </si>
  <si>
    <t>V8_TP.7: Ligipääsetavuse poliitika ja järelvalve</t>
  </si>
  <si>
    <t>V14_TP.7: Perekonnaseisu- ja rahvastikuteenused</t>
  </si>
  <si>
    <t>V8_LINNAPLANEERIMINE</t>
  </si>
  <si>
    <t>V14_TP.8: Tallinna ajaloo arhiveerimine, uurimine ja tutvustamine</t>
  </si>
  <si>
    <t>V9_LINNAVARA</t>
  </si>
  <si>
    <t>V10_SOTSIAALHOOLEKANNE</t>
  </si>
  <si>
    <t>V11_SPORT</t>
  </si>
  <si>
    <t>V12_TEHNOVÕRGUD</t>
  </si>
  <si>
    <t>V13_TERVISHOID</t>
  </si>
  <si>
    <t>V14_JUHTIMINE</t>
  </si>
  <si>
    <t>ADMINISTRATIIVKULUD</t>
  </si>
  <si>
    <t>Vali loetelust!</t>
  </si>
  <si>
    <t>Tallinna Kiirabi (ü)</t>
  </si>
  <si>
    <t>Tähtpäevade tähistamine</t>
  </si>
  <si>
    <t>Kultuuriöö</t>
  </si>
  <si>
    <t>* Eelarve täitmisel on linnavalitsusel õigus muuta summade jaotust ülelinnaliste kultuuriürituste ja - projektide üldsumma piires.</t>
  </si>
  <si>
    <t>The Tall Ships Races 2024</t>
  </si>
  <si>
    <t>XIII noorte laulu ja tantsupidu (endine nimi Laulu- ja tantsupeo protsessi arendustegevused)</t>
  </si>
  <si>
    <t xml:space="preserve">Kultuuriprojektide toetamine </t>
  </si>
  <si>
    <t>sellest suured MTT komisjoni projektid (uus taoltusvoor)</t>
  </si>
  <si>
    <t>Kultuurivaldkonna preemiad ja tunnustused</t>
  </si>
  <si>
    <t>sellest Tallinna teeneka kultuuritegelase preemia</t>
  </si>
  <si>
    <t>Muud preemiad</t>
  </si>
  <si>
    <t>Toetus mittetulundusühing Teine Tants</t>
  </si>
  <si>
    <t>vaimse tervise õenduse teenus</t>
  </si>
  <si>
    <t>eakate päevakeskuste haldamine</t>
  </si>
  <si>
    <t>Valimised</t>
  </si>
  <si>
    <t>Jäätmejaamade ümberkujundamine ringmajanduskeskusteks korduskasutuse edendamiseks ja parandustöökodade loomiseks</t>
  </si>
  <si>
    <t>Viis sammast viimase MIILI logistika DECARBOniseerimiseks - DECARBOMILE</t>
  </si>
  <si>
    <t>PRECINCT - valmisolek kriitilise tähtsusega infrastruktuuri küber- ja füüsilisteks ohtudeks</t>
  </si>
  <si>
    <t>Välisrahastusega projekt "Viis sammast viimase MIILI logistika DECARBOniseerimiseks - DECARBOMILE" (ü)</t>
  </si>
  <si>
    <t>Välisrahastusega projekt „PRECINCT - valmisolek kriitilise tähtsusega infrastruktuuri küber- ja füüsilisteks ohtudeks“ (ü)</t>
  </si>
  <si>
    <t>Välisrahastuseg projekt "Jäätmejaamade ümberkujundamine ringmajanduskeskusteks korduskasutuse edendamiseks ja parandustöökodade loomiseks" ü</t>
  </si>
  <si>
    <t>Välisrahastusega projekt "Ringmajanduse väärtusahelate süsteemsed paikkondlikud laiendused - TREASOURCE" (ü)</t>
  </si>
  <si>
    <t>Rahvusvaheliste konverentside toetamise meede</t>
  </si>
  <si>
    <t>OECD lõppraporti tutvustamise rahvusvaheline konverents</t>
  </si>
  <si>
    <t>koolijuhtide järelkasvuprogramm</t>
  </si>
  <si>
    <t>Toetus Sihtasutusele Kiusamisvaba Kool</t>
  </si>
  <si>
    <t>Kunstibiennaalid ja -triennaalid</t>
  </si>
  <si>
    <t>Sotsiaal- ja hoolekandeasutuste sisekliima audit</t>
  </si>
  <si>
    <t>TULUDE EELARVE</t>
  </si>
  <si>
    <t>Tululiik</t>
  </si>
  <si>
    <t>Omatulud</t>
  </si>
  <si>
    <t>Maksutulud kokku</t>
  </si>
  <si>
    <t>Kaupade ja teenuste müük</t>
  </si>
  <si>
    <t>Kasum/kahjum varude ja kauba müügist</t>
  </si>
  <si>
    <t>Tulud kokku (v.a toetused)</t>
  </si>
  <si>
    <t>Toetused</t>
  </si>
  <si>
    <t>sh riigilt jm institutsioonidelt</t>
  </si>
  <si>
    <t>välisprojektide kaasfinantseerimine</t>
  </si>
  <si>
    <t>Eelarve kokku</t>
  </si>
  <si>
    <t>Noorte info ja mobiilne noorsootöö</t>
  </si>
  <si>
    <t>Euroopa kliimaneutraalsete linnade nutikad ühistranspordi algatused - SPINE</t>
  </si>
  <si>
    <t>Välisrahastusega projekt "Euroopa kliimaneutraalsete linnade nutikad ühistranspordi algatused - SPINE" (ü)</t>
  </si>
  <si>
    <t>välisrahastuse arvelt   100%</t>
  </si>
  <si>
    <t>erahuvikoolide toetamine</t>
  </si>
  <si>
    <t>Elanikkonna kaitse</t>
  </si>
  <si>
    <t>Ülelinnalised kultuurisündused ja -projektid*</t>
  </si>
  <si>
    <t>Rahvusvahelised kultuurisündmused ja projektid</t>
  </si>
  <si>
    <t>KOONDEELARVE</t>
  </si>
  <si>
    <t>TULEMI PROGNOOS</t>
  </si>
  <si>
    <t>TULUD KOKKU</t>
  </si>
  <si>
    <t>Vara müük</t>
  </si>
  <si>
    <t>Varude müük</t>
  </si>
  <si>
    <t>Müüdava vara jääkmaksumus</t>
  </si>
  <si>
    <t>Välisrahastus</t>
  </si>
  <si>
    <t>Välisprojektide kaasfinantseerimine</t>
  </si>
  <si>
    <t>Annetused</t>
  </si>
  <si>
    <t>KULUD KOKKU</t>
  </si>
  <si>
    <t>Põhitegevuse kulud, sh</t>
  </si>
  <si>
    <t>tegevuskulud riigi ja muude institutsioonide toetuste arvelt</t>
  </si>
  <si>
    <t>tegevuskulud välisrahastuse arvelt</t>
  </si>
  <si>
    <t>tegevuskulud välisrahastuse kaasfinantseerimise arvelt</t>
  </si>
  <si>
    <t>tegevuskulud annetuste arvelt</t>
  </si>
  <si>
    <t>muud tegevuskulud</t>
  </si>
  <si>
    <t>Investeeringuprojektide kulud</t>
  </si>
  <si>
    <t>EELARVE TEGEVUSTULEM</t>
  </si>
  <si>
    <t>Amortisatsioon</t>
  </si>
  <si>
    <t>EELARVE AASTA TULEM KOKKU</t>
  </si>
  <si>
    <t>MUUTUSED BILANSIS</t>
  </si>
  <si>
    <t>MUUTUSED VARADES</t>
  </si>
  <si>
    <t>MUUTUS MITTEFINANTSVARADES</t>
  </si>
  <si>
    <t>Põhivara soetus ja renoveerimine</t>
  </si>
  <si>
    <t>Müüdava vara jääkväärtus</t>
  </si>
  <si>
    <t>MUUTUS MITTEFINANTSVARADES KOKKU</t>
  </si>
  <si>
    <t>MUUTUS RAHAS</t>
  </si>
  <si>
    <t>Hoiuste muutus</t>
  </si>
  <si>
    <t>MUUTUS FINANTSVARADES KOKKU</t>
  </si>
  <si>
    <t>MUUTUSED NÕUETES</t>
  </si>
  <si>
    <t>MUUTUS LAENUNÕUETES KOKKU</t>
  </si>
  <si>
    <t>Laenude tagasimaksed</t>
  </si>
  <si>
    <t>MUUTUS MUUDES NÕUETES KOKKU</t>
  </si>
  <si>
    <t>Nõuete suurenemine</t>
  </si>
  <si>
    <t>Nõuete vähenemine</t>
  </si>
  <si>
    <t>MUUTUSED KOHUSTUSTES</t>
  </si>
  <si>
    <t>MUUTUS LAENUKOHUSTUSTES KOKKU</t>
  </si>
  <si>
    <t>Maksed teenuste kontsessioonilepingu raames</t>
  </si>
  <si>
    <t>MUUTUS MUUDES KOHUSTUSTES KOKKU</t>
  </si>
  <si>
    <t>Kohustuste vähenemine</t>
  </si>
  <si>
    <t>MUUTUS NETOVARAS</t>
  </si>
  <si>
    <t>SISSETULEKUD</t>
  </si>
  <si>
    <t>VÄLJAMINEKUD</t>
  </si>
  <si>
    <t>FINANTSEERIMISTEGEVUSE EELARVE</t>
  </si>
  <si>
    <t>Laenukohustuse suurenemine</t>
  </si>
  <si>
    <t>Laenukohustuse vähenemine</t>
  </si>
  <si>
    <t>Laenunõude vähenemine</t>
  </si>
  <si>
    <t xml:space="preserve">Kapitaliliisingu maksed </t>
  </si>
  <si>
    <t>Teenuste kontsessioonilepingu raames renoveeritud koolid</t>
  </si>
  <si>
    <t>Põhitegevuse tulud (+)</t>
  </si>
  <si>
    <t>Maksutulud</t>
  </si>
  <si>
    <t>Tulud kaupade ja teenuste müügist</t>
  </si>
  <si>
    <t>Saadavad toetused tegevuskuludeks</t>
  </si>
  <si>
    <t>Muud tegevustulud</t>
  </si>
  <si>
    <t>Põhitegevuse kulud (-)</t>
  </si>
  <si>
    <t>Antavad toetused tegevuskuludeks</t>
  </si>
  <si>
    <t>Muud tegevuskulud</t>
  </si>
  <si>
    <t>Reservid</t>
  </si>
  <si>
    <t>PÕHITEGEVUSE TULEM</t>
  </si>
  <si>
    <t>Investeerimistegevus</t>
  </si>
  <si>
    <t>Põhivara müük (+)</t>
  </si>
  <si>
    <t>Põhivara soetus (-)</t>
  </si>
  <si>
    <t>Saadav sihtfinantseerimine (+)</t>
  </si>
  <si>
    <t>Antav sihtfinantseerimine (-)</t>
  </si>
  <si>
    <t>Laenude andmine (-)</t>
  </si>
  <si>
    <t>Laenude tagasimaksed (+)</t>
  </si>
  <si>
    <t>Finantstulud (+)</t>
  </si>
  <si>
    <t>Finantskulud (-)</t>
  </si>
  <si>
    <t>EELARVE TULEM</t>
  </si>
  <si>
    <t>Finantseerimistegevus</t>
  </si>
  <si>
    <t>Kohustuste võtmine (+)</t>
  </si>
  <si>
    <t>Kohustuste tasumine (-)</t>
  </si>
  <si>
    <t>Likviidsete varade muutus</t>
  </si>
  <si>
    <t>Nõuete ja kohustuste saldode muutus</t>
  </si>
  <si>
    <t>Kohaliku omavalitsuse kriisivalmiduse suurendamine</t>
  </si>
  <si>
    <t>Toetus KOV kriisivalmiduse suurendamiseks (Munitsipaalpolitsei Amet)</t>
  </si>
  <si>
    <t>perioodika tellimine</t>
  </si>
  <si>
    <t>Ukraina põgenike üüritoetus, tõlketeenused ja halduskulu</t>
  </si>
  <si>
    <t>Stroomi ranna reostusuuringu ja saneerimisprojekti koostamine ning reostuse likvideerimine</t>
  </si>
  <si>
    <t>täiendav toetusmeede eakatele</t>
  </si>
  <si>
    <t>MTÜ Memento Mare</t>
  </si>
  <si>
    <t>Tegevustoetus Eesti Pensionäride Ühenduste Liidule</t>
  </si>
  <si>
    <t>Tegevustoetus Tallinna Pensionäride Ühendusele</t>
  </si>
  <si>
    <t>Toetus MTÜ-dele kommunaalkulude katteks</t>
  </si>
  <si>
    <t>Projekt "Kodud tuleohutuks"</t>
  </si>
  <si>
    <t>Rahaline sissemakse Sihtasutusele Tallinna Haigla Arendus</t>
  </si>
  <si>
    <r>
      <rPr>
        <i/>
        <vertAlign val="superscript"/>
        <sz val="9"/>
        <rFont val="Arial"/>
        <family val="2"/>
        <charset val="186"/>
      </rPr>
      <t>1</t>
    </r>
    <r>
      <rPr>
        <i/>
        <sz val="9"/>
        <rFont val="Arial"/>
        <family val="2"/>
        <charset val="186"/>
      </rPr>
      <t>määrata kuludest ülekantavaks</t>
    </r>
  </si>
  <si>
    <t>Välisrahastusega projekt „Stroomi ranna reostusuuringu ja saneerimisprojekti koostamine ning reostuse likvideerimine" (ü)</t>
  </si>
  <si>
    <t>sellest toetused riigilt ja muudelt institutsioonidelt</t>
  </si>
  <si>
    <t>Saadud kahjuhüvitised</t>
  </si>
  <si>
    <t>Kesklinna Valitsuse haldusala</t>
  </si>
  <si>
    <t>Tallinna Kopli Ametikooli Ukrainast saabunud sõjapõgenikest õpilaste hariduse tagamise võimaldamiseks</t>
  </si>
  <si>
    <t>koolieelsete lasteasutuste Ukrainast saabunud sõjapõgenikest lastele hariduse tagamise võimaldamiseks</t>
  </si>
  <si>
    <t>üldhariduskoolidele Ukrainast saabunud sõjapõgenikest õpilaste hariduse tagamise võimaldamiseks</t>
  </si>
  <si>
    <t>NEET noorte tugiteenused (ü)</t>
  </si>
  <si>
    <t>Tallinna tantsupidu (Tallinna Rahvatantsujuhtide Selts)</t>
  </si>
  <si>
    <t>sellest TRIXS motovõistlus (MotoBerg OÜ)</t>
  </si>
  <si>
    <t>sellest Eesti Korvpalliliit</t>
  </si>
  <si>
    <t>Joogiveekraanide rajamine Tallinnas</t>
  </si>
  <si>
    <t>Pelguaia ühisaia ehitus ja jätkutegevused</t>
  </si>
  <si>
    <t>Asendusistustused (ü)</t>
  </si>
  <si>
    <t>Välisrahastusega projekt "Ohtlike ainete vähendamine ehituses, et kaitsta veekeskkonda, inimeste tervist ja saavutada säästvamad hooned (NonHazCity 3)" (ü)</t>
  </si>
  <si>
    <t>Ohtlike ainete vähendamine ehituses, et kaitsta veekeskkonda, inimeste tervist ja saavutada säästvamad hooned (NonHazCity 3)</t>
  </si>
  <si>
    <t>Tegevustoetus Sihtasutusele Tallinna Haigla Arendus</t>
  </si>
  <si>
    <t>III lisaeelarve</t>
  </si>
  <si>
    <t>Linnaruumifestival</t>
  </si>
  <si>
    <t>Linna asutuste energiakulude kompenseerimise reserv</t>
  </si>
  <si>
    <t>linna vara ja kohustustega seonduvate toimingute reserv</t>
  </si>
  <si>
    <t>Linna videovalve</t>
  </si>
  <si>
    <t>Muud linnatranspordi kulud *</t>
  </si>
  <si>
    <r>
      <t xml:space="preserve">Hoiukoduteenus raske ja sügava puudega lastele </t>
    </r>
    <r>
      <rPr>
        <sz val="8"/>
        <rFont val="Arial"/>
        <family val="2"/>
        <charset val="186"/>
      </rPr>
      <t>(Tallinna Lastekodu)</t>
    </r>
  </si>
  <si>
    <t>laste ja noorte psühholoogiline nõustamine</t>
  </si>
  <si>
    <r>
      <t>Vaimse tervise õenduse teenus (Tallinna Vaimse Tervise Keskus</t>
    </r>
    <r>
      <rPr>
        <u/>
        <sz val="8"/>
        <rFont val="Arial"/>
        <family val="2"/>
        <charset val="186"/>
      </rPr>
      <t>)</t>
    </r>
  </si>
  <si>
    <t>Spordiparkide hooldus</t>
  </si>
  <si>
    <t xml:space="preserve">Toetus Sihtasutusele Eesti Agrenska Fond (harvikhaigustega laste perelaagrid) </t>
  </si>
  <si>
    <t xml:space="preserve">Toetus Mittetulundusühingule Heategevusfond Südamete Soojus </t>
  </si>
  <si>
    <t xml:space="preserve">sellest Nõmme rongipeatuste kunstiprojekt </t>
  </si>
  <si>
    <t>Toetus EELK Tallinna Toompea Kaarli Kogudusele</t>
  </si>
  <si>
    <t>Elava muusikaga kontserdipaiga toetamine</t>
  </si>
  <si>
    <t>toetus Mittetulundusühingule Peaasjad</t>
  </si>
  <si>
    <t>toetus Põhja-Eesti Pimedate Ühingule</t>
  </si>
  <si>
    <t>toetus Söömishäirete Liidule</t>
  </si>
  <si>
    <r>
      <rPr>
        <sz val="10"/>
        <rFont val="Arial"/>
        <family val="2"/>
        <charset val="186"/>
      </rPr>
      <t>Raske ja sügava liitpuudega inimeste erihoolekandeteenus</t>
    </r>
    <r>
      <rPr>
        <sz val="8"/>
        <rFont val="Arial"/>
        <family val="2"/>
        <charset val="186"/>
      </rPr>
      <t xml:space="preserve"> (Tallinna Lastekodu)</t>
    </r>
  </si>
  <si>
    <t>Riigi hooldusreform (toetusfond)</t>
  </si>
  <si>
    <t>MUUTUS MUUS FINANTSVARAS</t>
  </si>
  <si>
    <t>Osaluse soetamine</t>
  </si>
  <si>
    <t>Antud laenude tagasimaksed</t>
  </si>
  <si>
    <t>Kohustuste suurenemine</t>
  </si>
  <si>
    <t>Eelnõu</t>
  </si>
  <si>
    <t>Muutus (2023 vs 2022 esialgne eelarve)</t>
  </si>
  <si>
    <t>Muutus (2023 vs 2022 täpsustatud eelarve)</t>
  </si>
  <si>
    <t>Struktuur</t>
  </si>
  <si>
    <t>Objekti ja projekti nimetus</t>
  </si>
  <si>
    <t>Üld</t>
  </si>
  <si>
    <t>Kultuur ja muinsuskaitse</t>
  </si>
  <si>
    <t>INVESTEERIMISTEGEVUS</t>
  </si>
  <si>
    <t xml:space="preserve">Isikukeskne erihoolekandeteenus </t>
  </si>
  <si>
    <t>EELARVE LIIGENDUS KOHALIKU OMAVALITSUSE ÜKSUSE FINANTSJUHTIMISE SEADUSE JÄRGI</t>
  </si>
  <si>
    <t>Osaluste soetamine (-)</t>
  </si>
  <si>
    <t>Osaluste müük/lõpetamine (+)</t>
  </si>
  <si>
    <t>uuenduslike lahenduste käivitamise toetamine (sh NATO innovatsioonikiirendi käivitamine) (end targa linna arendus)</t>
  </si>
  <si>
    <t>Jääk</t>
  </si>
  <si>
    <t>päevahoiuteenuse tegevus- ja hooldusvahendite tasu (end. õppekulude tasu)</t>
  </si>
  <si>
    <t>raske ja sügava liitpuudega täisealistele inimestele erihoolekandeteenus (end. ööpäevaringne erihoolekandeteenus sügava liitpuudega inimestele)</t>
  </si>
  <si>
    <t>tasuliste teenuste müük (end. isikukeskne erihoolekandeteenus)</t>
  </si>
  <si>
    <t>Kriisireserv (2021-2022. a COVID-19 viiruse leviku ennetamise ja tõkestamisega kaasnevate kulude reserv)</t>
  </si>
  <si>
    <t xml:space="preserve">Toetus Delfi Meedia AS-le rohepöörde konverentside korraldamiseks ja rahvusvahelise mastaabiga sündmuste läbiviimiseks ning turundamiseks (end. Toetus AS-le Ekspress Meedia rohepöörde konverentside ja rahvusvaheliseks turunduseks) </t>
  </si>
  <si>
    <t>Haridus1</t>
  </si>
  <si>
    <t>Noorsootöö1</t>
  </si>
  <si>
    <t>Kultuuri- ja Spordiamet1</t>
  </si>
  <si>
    <t>Mäluhäiretega inimeste päevahoiuteenus (end. eaka inimese perekonda toetavad teenused)</t>
  </si>
  <si>
    <r>
      <t xml:space="preserve">Abivajadusega laste tugiteenus (end. raske ja sügava puudega laste tugiisikuteenus) </t>
    </r>
    <r>
      <rPr>
        <sz val="8"/>
        <rFont val="Arial"/>
        <family val="2"/>
        <charset val="186"/>
      </rPr>
      <t>(Tallinna Perekeskus)</t>
    </r>
  </si>
  <si>
    <t>Raske ja sügava puudega laste lapsehoiu teenus (end. raske ja sügava puudega lastele tugiisiku-, lapsehoiu- ja transporditeenuse arendamine ja pakkumine kohalikus omavalitsuses)</t>
  </si>
  <si>
    <r>
      <t>Hooldusreformi ettevalmistamine (</t>
    </r>
    <r>
      <rPr>
        <u/>
        <sz val="8"/>
        <rFont val="Arial"/>
        <family val="2"/>
        <charset val="186"/>
      </rPr>
      <t>Sotsiaal- ja Tervishoiuamet)</t>
    </r>
  </si>
  <si>
    <t>sissetulekust sõltuv toetus (end. toetused toimetulekuraskustes peredele)</t>
  </si>
  <si>
    <t>KULUD</t>
  </si>
  <si>
    <t>INVESTEERINGUD</t>
  </si>
  <si>
    <t>Kokku</t>
  </si>
  <si>
    <t>KATTEALLIKAD</t>
  </si>
  <si>
    <t>sh</t>
  </si>
  <si>
    <t>LE</t>
  </si>
  <si>
    <t>RE</t>
  </si>
  <si>
    <t>OT</t>
  </si>
  <si>
    <t>VR</t>
  </si>
  <si>
    <t>Katte- allikas1</t>
  </si>
  <si>
    <t>LAEN</t>
  </si>
  <si>
    <t>2022 kolmas lisaeelarve</t>
  </si>
  <si>
    <t xml:space="preserve">III lisaeelarve </t>
  </si>
  <si>
    <t>RAHAKÄIBE PROGNOOS</t>
  </si>
  <si>
    <t xml:space="preserve">Laekumised haldustegevusest </t>
  </si>
  <si>
    <t xml:space="preserve"> Tulude laekumine</t>
  </si>
  <si>
    <t xml:space="preserve">  Maksud</t>
  </si>
  <si>
    <t xml:space="preserve">   sh tulumaks</t>
  </si>
  <si>
    <t xml:space="preserve">        maamaks</t>
  </si>
  <si>
    <t xml:space="preserve">        kohalikud maksud</t>
  </si>
  <si>
    <t xml:space="preserve"> Tegevustulu</t>
  </si>
  <si>
    <t xml:space="preserve"> Muud tulud</t>
  </si>
  <si>
    <t xml:space="preserve"> Toetused</t>
  </si>
  <si>
    <t xml:space="preserve">  sh riigilt</t>
  </si>
  <si>
    <t xml:space="preserve">       välisrahastus</t>
  </si>
  <si>
    <t xml:space="preserve">       annetused</t>
  </si>
  <si>
    <t>Väljamaksed haldustegevuseks</t>
  </si>
  <si>
    <t xml:space="preserve">   sh tegevuskulu</t>
  </si>
  <si>
    <t xml:space="preserve">       finantskulud</t>
  </si>
  <si>
    <t xml:space="preserve">Haldustegevus kokku </t>
  </si>
  <si>
    <t xml:space="preserve">Laekumised investeerimistegevusest </t>
  </si>
  <si>
    <t xml:space="preserve">   sh põhivara müük</t>
  </si>
  <si>
    <t xml:space="preserve">       saadud dividendid</t>
  </si>
  <si>
    <t xml:space="preserve">       finantstulu</t>
  </si>
  <si>
    <t>Väljamaksed investeerimistegevuseks</t>
  </si>
  <si>
    <t xml:space="preserve">   sh põhivara soetamine</t>
  </si>
  <si>
    <t xml:space="preserve">Investeerimistegevus kokku </t>
  </si>
  <si>
    <t>Laekumised finantseerimistegevusest</t>
  </si>
  <si>
    <t xml:space="preserve">  sh eelarvelaenu võtmine/võlakirjade emiteerimine</t>
  </si>
  <si>
    <t xml:space="preserve">        antud laenude tagasimaksed</t>
  </si>
  <si>
    <t>Väljamaksed finantseerimistegevuseks</t>
  </si>
  <si>
    <t xml:space="preserve">  sh eelarvelaenu tagastamine/võlakirjade tagasiostmine</t>
  </si>
  <si>
    <t xml:space="preserve">      kontsessioonilepingute põhiosa maksed</t>
  </si>
  <si>
    <t xml:space="preserve">Finantseerimistegevus kokku </t>
  </si>
  <si>
    <t>Laekumised kokku</t>
  </si>
  <si>
    <t>Väljamaksed kokku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</si>
</sst>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kr&quot;_-;\-* #,##0.00\ &quot;kr&quot;_-;_-* &quot;-&quot;??\ &quot;kr&quot;_-;_-@_-"/>
    <numFmt numFmtId="165" formatCode="_-* #,##0.00\ _k_r_-;\-* #,##0.00\ _k_r_-;_-* &quot;-&quot;??\ _k_r_-;_-@_-"/>
    <numFmt numFmtId="166" formatCode="#,##0.0"/>
    <numFmt numFmtId="167" formatCode="_-* #,##0.00\ _k_r_-;\-* #,##0.00\ _k_r_-;_-* \-??\ _k_r_-;_-@_-"/>
    <numFmt numFmtId="168" formatCode="#,##0;[Red]#,##0"/>
    <numFmt numFmtId="169" formatCode="#,##0_ ;[Red]\-#,##0\ "/>
    <numFmt numFmtId="170" formatCode="0.0%"/>
    <numFmt numFmtId="171" formatCode="#,##0;\-#,##0;&quot; &quot;"/>
    <numFmt numFmtId="172" formatCode="[$-425]General"/>
  </numFmts>
  <fonts count="124">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1"/>
      <name val="Arial"/>
      <family val="2"/>
    </font>
    <font>
      <b/>
      <sz val="10"/>
      <name val="Arial"/>
      <family val="2"/>
      <charset val="186"/>
    </font>
    <font>
      <i/>
      <sz val="10"/>
      <name val="Arial"/>
      <family val="2"/>
      <charset val="186"/>
    </font>
    <font>
      <sz val="8"/>
      <name val="Arial"/>
      <family val="2"/>
      <charset val="186"/>
    </font>
    <font>
      <sz val="10"/>
      <name val="Courier"/>
      <family val="1"/>
      <charset val="186"/>
    </font>
    <font>
      <b/>
      <sz val="11"/>
      <name val="Arial"/>
      <family val="2"/>
      <charset val="186"/>
    </font>
    <font>
      <b/>
      <i/>
      <sz val="10"/>
      <name val="Arial"/>
      <family val="2"/>
      <charset val="186"/>
    </font>
    <font>
      <b/>
      <u/>
      <sz val="10"/>
      <name val="Arial"/>
      <family val="2"/>
      <charset val="186"/>
    </font>
    <font>
      <b/>
      <sz val="12"/>
      <name val="Arial"/>
      <family val="2"/>
      <charset val="186"/>
    </font>
    <font>
      <u/>
      <sz val="10"/>
      <name val="Arial"/>
      <family val="2"/>
      <charset val="186"/>
    </font>
    <font>
      <i/>
      <sz val="8"/>
      <name val="Arial"/>
      <family val="2"/>
      <charset val="186"/>
    </font>
    <font>
      <b/>
      <sz val="10"/>
      <name val="Arial"/>
      <family val="2"/>
    </font>
    <font>
      <sz val="10"/>
      <name val="Arial"/>
      <family val="2"/>
    </font>
    <font>
      <i/>
      <sz val="10"/>
      <name val="Arial"/>
      <family val="2"/>
    </font>
    <font>
      <sz val="10"/>
      <name val="Courier"/>
      <family val="3"/>
    </font>
    <font>
      <sz val="12"/>
      <name val="Arial"/>
      <family val="2"/>
      <charset val="186"/>
    </font>
    <font>
      <i/>
      <sz val="9"/>
      <name val="Arial"/>
      <family val="2"/>
      <charset val="186"/>
    </font>
    <font>
      <sz val="8"/>
      <name val="Arial"/>
      <family val="2"/>
    </font>
    <font>
      <sz val="9"/>
      <name val="Arial"/>
      <family val="2"/>
      <charset val="186"/>
    </font>
    <font>
      <b/>
      <i/>
      <sz val="11"/>
      <name val="Arial"/>
      <family val="2"/>
      <charset val="186"/>
    </font>
    <font>
      <sz val="10"/>
      <color rgb="FFFF0000"/>
      <name val="Arial"/>
      <family val="2"/>
      <charset val="186"/>
    </font>
    <font>
      <sz val="11"/>
      <color indexed="17"/>
      <name val="Calibri"/>
      <family val="2"/>
      <charset val="186"/>
    </font>
    <font>
      <sz val="11"/>
      <color indexed="9"/>
      <name val="Calibri"/>
      <family val="2"/>
      <charset val="186"/>
    </font>
    <font>
      <i/>
      <u/>
      <sz val="10"/>
      <name val="Arial"/>
      <family val="2"/>
    </font>
    <font>
      <sz val="11"/>
      <color theme="1"/>
      <name val="Calibri"/>
      <family val="2"/>
      <charset val="186"/>
      <scheme val="minor"/>
    </font>
    <font>
      <sz val="11"/>
      <color indexed="8"/>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1"/>
      <color indexed="10"/>
      <name val="Calibri"/>
      <family val="2"/>
      <charset val="186"/>
    </font>
    <font>
      <sz val="10"/>
      <name val="Mangal"/>
      <family val="2"/>
    </font>
    <font>
      <u/>
      <sz val="8.5"/>
      <color indexed="12"/>
      <name val="Arial"/>
      <family val="2"/>
      <charset val="186"/>
    </font>
    <font>
      <sz val="10"/>
      <color theme="1"/>
      <name val="Arial"/>
      <family val="2"/>
      <charset val="186"/>
    </font>
    <font>
      <i/>
      <sz val="8"/>
      <color rgb="FF0070C0"/>
      <name val="Arial"/>
      <family val="2"/>
      <charset val="186"/>
    </font>
    <font>
      <sz val="10"/>
      <name val="Arial"/>
      <family val="2"/>
      <charset val="186"/>
    </font>
    <font>
      <i/>
      <sz val="9"/>
      <name val="Arial"/>
      <family val="2"/>
    </font>
    <font>
      <sz val="10"/>
      <color indexed="17"/>
      <name val="Arial"/>
      <family val="2"/>
      <charset val="186"/>
    </font>
    <font>
      <sz val="10"/>
      <color rgb="FF00B0F0"/>
      <name val="Arial"/>
      <family val="2"/>
    </font>
    <font>
      <b/>
      <sz val="10"/>
      <color theme="1"/>
      <name val="Arial"/>
      <family val="2"/>
      <charset val="186"/>
    </font>
    <font>
      <i/>
      <sz val="8"/>
      <color rgb="FF0070C0"/>
      <name val="Arial"/>
      <family val="2"/>
    </font>
    <font>
      <b/>
      <sz val="8"/>
      <name val="Arial"/>
      <family val="2"/>
      <charset val="186"/>
    </font>
    <font>
      <u/>
      <sz val="8"/>
      <name val="Arial"/>
      <family val="2"/>
      <charset val="186"/>
    </font>
    <font>
      <i/>
      <sz val="10"/>
      <color rgb="FF0070C0"/>
      <name val="Arial"/>
      <family val="2"/>
    </font>
    <font>
      <b/>
      <sz val="10"/>
      <name val="Times New Roman"/>
      <family val="1"/>
      <charset val="186"/>
    </font>
    <font>
      <sz val="8"/>
      <name val="Calibri"/>
      <family val="2"/>
      <charset val="186"/>
      <scheme val="minor"/>
    </font>
    <font>
      <i/>
      <u/>
      <sz val="10"/>
      <name val="Arial"/>
      <family val="2"/>
      <charset val="186"/>
    </font>
    <font>
      <sz val="10"/>
      <color theme="0"/>
      <name val="Arial"/>
      <family val="2"/>
      <charset val="186"/>
    </font>
    <font>
      <b/>
      <sz val="10"/>
      <name val="Calibri"/>
      <family val="2"/>
      <charset val="186"/>
      <scheme val="minor"/>
    </font>
    <font>
      <sz val="11"/>
      <name val="Calibri"/>
      <family val="2"/>
      <charset val="186"/>
      <scheme val="minor"/>
    </font>
    <font>
      <sz val="9"/>
      <color rgb="FFFF0000"/>
      <name val="Arial"/>
      <family val="2"/>
      <charset val="186"/>
    </font>
    <font>
      <b/>
      <sz val="10"/>
      <color rgb="FF0070C0"/>
      <name val="Arial"/>
      <family val="2"/>
    </font>
    <font>
      <sz val="10"/>
      <color rgb="FF0070C0"/>
      <name val="Arial"/>
      <family val="2"/>
    </font>
    <font>
      <i/>
      <u/>
      <sz val="10"/>
      <color rgb="FF0070C0"/>
      <name val="Arial"/>
      <family val="2"/>
    </font>
    <font>
      <i/>
      <sz val="9"/>
      <color rgb="FF0070C0"/>
      <name val="Arial"/>
      <family val="2"/>
    </font>
    <font>
      <vertAlign val="superscript"/>
      <sz val="10"/>
      <name val="Arial"/>
      <family val="2"/>
      <charset val="186"/>
    </font>
    <font>
      <i/>
      <vertAlign val="superscript"/>
      <sz val="9"/>
      <name val="Arial"/>
      <family val="2"/>
      <charset val="186"/>
    </font>
    <font>
      <i/>
      <vertAlign val="superscript"/>
      <sz val="10"/>
      <name val="Arial"/>
      <family val="2"/>
      <charset val="186"/>
    </font>
    <font>
      <i/>
      <sz val="11"/>
      <color theme="1"/>
      <name val="Calibri"/>
      <family val="2"/>
      <charset val="186"/>
      <scheme val="minor"/>
    </font>
    <font>
      <sz val="8"/>
      <color rgb="FFFF0000"/>
      <name val="Arial"/>
      <family val="2"/>
      <charset val="186"/>
    </font>
    <font>
      <i/>
      <u/>
      <sz val="9"/>
      <name val="Arial"/>
      <family val="2"/>
      <charset val="186"/>
    </font>
    <font>
      <b/>
      <i/>
      <sz val="9"/>
      <name val="Arial"/>
      <family val="2"/>
      <charset val="186"/>
    </font>
    <font>
      <i/>
      <sz val="8"/>
      <name val="Arial"/>
      <family val="2"/>
    </font>
    <font>
      <i/>
      <sz val="11"/>
      <name val="Calibri"/>
      <family val="2"/>
      <charset val="186"/>
      <scheme val="minor"/>
    </font>
    <font>
      <sz val="8"/>
      <color theme="1"/>
      <name val="Arial"/>
      <family val="2"/>
      <charset val="186"/>
    </font>
    <font>
      <u/>
      <sz val="9"/>
      <name val="Arial"/>
      <family val="2"/>
      <charset val="186"/>
    </font>
    <font>
      <i/>
      <sz val="10"/>
      <color rgb="FF000000"/>
      <name val="Arial"/>
      <family val="2"/>
      <charset val="186"/>
    </font>
    <font>
      <sz val="10"/>
      <color rgb="FF00B050"/>
      <name val="Arial"/>
      <family val="2"/>
      <charset val="186"/>
    </font>
    <font>
      <i/>
      <sz val="8"/>
      <color theme="1"/>
      <name val="Calibri"/>
      <family val="2"/>
      <charset val="186"/>
      <scheme val="minor"/>
    </font>
    <font>
      <i/>
      <sz val="10"/>
      <color rgb="FF00B050"/>
      <name val="Arial"/>
      <family val="2"/>
      <charset val="186"/>
    </font>
    <font>
      <b/>
      <u/>
      <sz val="10"/>
      <color rgb="FF00B050"/>
      <name val="Arial"/>
      <family val="2"/>
      <charset val="186"/>
    </font>
    <font>
      <b/>
      <sz val="10"/>
      <color theme="0"/>
      <name val="Arial"/>
      <family val="2"/>
      <charset val="186"/>
    </font>
    <font>
      <i/>
      <u/>
      <sz val="8"/>
      <name val="Arial"/>
      <family val="2"/>
      <charset val="186"/>
    </font>
    <font>
      <sz val="10"/>
      <name val="Calibri"/>
      <family val="2"/>
      <charset val="186"/>
      <scheme val="minor"/>
    </font>
    <font>
      <b/>
      <sz val="11"/>
      <name val="Calibri"/>
      <family val="2"/>
      <charset val="186"/>
      <scheme val="minor"/>
    </font>
    <font>
      <sz val="10"/>
      <name val="Arial"/>
      <family val="2"/>
      <charset val="186"/>
    </font>
    <font>
      <sz val="11"/>
      <color theme="1"/>
      <name val="Calibri"/>
      <family val="2"/>
      <scheme val="minor"/>
    </font>
    <font>
      <sz val="10"/>
      <color theme="1"/>
      <name val="Arial1"/>
      <charset val="186"/>
    </font>
    <font>
      <sz val="11"/>
      <color rgb="FF006100"/>
      <name val="Calibri"/>
      <family val="2"/>
      <charset val="186"/>
      <scheme val="minor"/>
    </font>
    <font>
      <sz val="11"/>
      <color rgb="FF9C0006"/>
      <name val="Calibri"/>
      <family val="2"/>
      <charset val="186"/>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indexed="17"/>
        <bgColor indexed="64"/>
      </patternFill>
    </fill>
    <fill>
      <patternFill patternType="solid">
        <fgColor indexed="19"/>
        <bgColor indexed="64"/>
      </patternFill>
    </fill>
    <fill>
      <patternFill patternType="solid">
        <fgColor indexed="1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top style="thin">
        <color indexed="64"/>
      </top>
      <bottom style="thin">
        <color indexed="64"/>
      </bottom>
      <diagonal/>
    </border>
    <border>
      <left style="double">
        <color theme="1"/>
      </left>
      <right style="double">
        <color theme="1"/>
      </right>
      <top style="double">
        <color theme="1"/>
      </top>
      <bottom style="double">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rgb="FFB2B2B2"/>
      </left>
      <right style="thin">
        <color rgb="FFB2B2B2"/>
      </right>
      <top style="thin">
        <color rgb="FFB2B2B2"/>
      </top>
      <bottom style="thin">
        <color rgb="FFB2B2B2"/>
      </bottom>
      <diagonal/>
    </border>
  </borders>
  <cellStyleXfs count="57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40" fillId="0" borderId="0"/>
    <xf numFmtId="0" fontId="50" fillId="0" borderId="0"/>
    <xf numFmtId="0" fontId="51" fillId="0" borderId="0"/>
    <xf numFmtId="0" fontId="30"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6" fillId="0" borderId="0"/>
    <xf numFmtId="0" fontId="57" fillId="4" borderId="0" applyNumberFormat="0" applyBorder="0" applyAlignment="0" applyProtection="0"/>
    <xf numFmtId="0" fontId="26" fillId="0" borderId="0" applyNumberFormat="0" applyFill="0" applyBorder="0" applyAlignment="0" applyProtection="0">
      <alignment vertical="top"/>
      <protection locked="0"/>
    </xf>
    <xf numFmtId="9" fontId="16" fillId="0" borderId="0" applyFont="0" applyFill="0" applyBorder="0" applyAlignment="0" applyProtection="0"/>
    <xf numFmtId="0" fontId="58" fillId="14" borderId="0" applyNumberFormat="0" applyBorder="0" applyAlignment="0" applyProtection="0"/>
    <xf numFmtId="0" fontId="58" fillId="19" borderId="0" applyNumberFormat="0" applyBorder="0" applyAlignment="0" applyProtection="0"/>
    <xf numFmtId="0" fontId="16" fillId="0" borderId="0"/>
    <xf numFmtId="0" fontId="16" fillId="0" borderId="0"/>
    <xf numFmtId="0" fontId="16" fillId="23" borderId="7" applyNumberFormat="0" applyFont="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7" fontId="75" fillId="0" borderId="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0" fontId="66" fillId="0" borderId="0" applyNumberFormat="0" applyFill="0" applyBorder="0" applyAlignment="0" applyProtection="0"/>
    <xf numFmtId="0" fontId="57" fillId="4" borderId="0" applyNumberFormat="0" applyBorder="0" applyAlignment="0" applyProtection="0"/>
    <xf numFmtId="0" fontId="57" fillId="24"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6" fillId="0" borderId="0" applyNumberFormat="0" applyFill="0" applyBorder="0" applyAlignment="0" applyProtection="0">
      <alignment vertical="top"/>
      <protection locked="0"/>
    </xf>
    <xf numFmtId="0" fontId="70" fillId="7" borderId="1" applyNumberFormat="0" applyAlignment="0" applyProtection="0"/>
    <xf numFmtId="0" fontId="71" fillId="0" borderId="6" applyNumberFormat="0" applyFill="0" applyAlignment="0" applyProtection="0"/>
    <xf numFmtId="0" fontId="72" fillId="22" borderId="0" applyNumberFormat="0" applyBorder="0" applyAlignment="0" applyProtection="0"/>
    <xf numFmtId="0" fontId="16" fillId="0" borderId="0"/>
    <xf numFmtId="0" fontId="16"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1"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48" fillId="0" borderId="0"/>
    <xf numFmtId="0" fontId="60" fillId="0" borderId="0"/>
    <xf numFmtId="0" fontId="60" fillId="0" borderId="0"/>
    <xf numFmtId="0" fontId="60" fillId="0" borderId="0"/>
    <xf numFmtId="0" fontId="16" fillId="0" borderId="0"/>
    <xf numFmtId="0" fontId="61" fillId="23" borderId="7" applyNumberFormat="0" applyFont="0" applyAlignment="0" applyProtection="0"/>
    <xf numFmtId="0" fontId="73" fillId="20" borderId="8" applyNumberFormat="0" applyAlignment="0" applyProtection="0"/>
    <xf numFmtId="9" fontId="16" fillId="0" borderId="0" applyFont="0" applyFill="0" applyBorder="0" applyAlignment="0" applyProtection="0"/>
    <xf numFmtId="0" fontId="58" fillId="25" borderId="0" applyNumberFormat="0" applyBorder="0" applyAlignment="0" applyProtection="0"/>
    <xf numFmtId="0" fontId="58" fillId="26" borderId="0" applyNumberFormat="0" applyBorder="0" applyAlignment="0" applyProtection="0"/>
    <xf numFmtId="0" fontId="32" fillId="0" borderId="0" applyNumberFormat="0" applyFill="0" applyBorder="0" applyAlignment="0" applyProtection="0"/>
    <xf numFmtId="0" fontId="62" fillId="0" borderId="9" applyNumberFormat="0" applyFill="0" applyAlignment="0" applyProtection="0"/>
    <xf numFmtId="0" fontId="74" fillId="0" borderId="0" applyNumberFormat="0" applyFill="0" applyBorder="0" applyAlignment="0" applyProtection="0"/>
    <xf numFmtId="0" fontId="16" fillId="23" borderId="7" applyNumberFormat="0" applyFont="0" applyAlignment="0" applyProtection="0"/>
    <xf numFmtId="0" fontId="60" fillId="0" borderId="0"/>
    <xf numFmtId="0" fontId="15" fillId="0" borderId="0"/>
    <xf numFmtId="0" fontId="16" fillId="0" borderId="0"/>
    <xf numFmtId="0" fontId="16" fillId="0" borderId="0"/>
    <xf numFmtId="9" fontId="79" fillId="0" borderId="0" applyFont="0" applyFill="0" applyBorder="0" applyAlignment="0" applyProtection="0"/>
    <xf numFmtId="0" fontId="16" fillId="0" borderId="0"/>
    <xf numFmtId="0" fontId="14" fillId="0" borderId="0"/>
    <xf numFmtId="0" fontId="16" fillId="0" borderId="0"/>
    <xf numFmtId="0" fontId="13" fillId="0" borderId="0"/>
    <xf numFmtId="0" fontId="12" fillId="0" borderId="0"/>
    <xf numFmtId="0" fontId="11"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81"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6"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57" fillId="4"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6" fillId="0" borderId="0" applyFont="0" applyFill="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50" fillId="0" borderId="0"/>
    <xf numFmtId="0" fontId="51" fillId="0" borderId="0"/>
    <xf numFmtId="0" fontId="7" fillId="0" borderId="0"/>
    <xf numFmtId="0" fontId="6" fillId="0" borderId="0"/>
    <xf numFmtId="4" fontId="83" fillId="0" borderId="14" applyAlignment="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1" fillId="0" borderId="0"/>
    <xf numFmtId="0" fontId="16" fillId="0" borderId="0"/>
    <xf numFmtId="9" fontId="16" fillId="0" borderId="0" applyFont="0" applyFill="0" applyBorder="0" applyAlignment="0" applyProtection="0"/>
    <xf numFmtId="0" fontId="1" fillId="0" borderId="0"/>
    <xf numFmtId="0" fontId="120" fillId="0" borderId="0"/>
    <xf numFmtId="0" fontId="1" fillId="0" borderId="0"/>
    <xf numFmtId="9" fontId="1" fillId="0" borderId="0" applyFont="0" applyFill="0" applyBorder="0" applyAlignment="0" applyProtection="0"/>
    <xf numFmtId="0" fontId="1" fillId="0" borderId="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172" fontId="121" fillId="0" borderId="0"/>
    <xf numFmtId="0" fontId="74" fillId="0" borderId="0" applyNumberFormat="0" applyFill="0" applyBorder="0" applyAlignment="0" applyProtection="0"/>
    <xf numFmtId="0" fontId="26" fillId="0" borderId="0" applyNumberFormat="0" applyFill="0" applyBorder="0" applyAlignment="0" applyProtection="0">
      <alignment vertical="top"/>
      <protection locked="0"/>
    </xf>
    <xf numFmtId="0" fontId="1" fillId="0" borderId="0"/>
    <xf numFmtId="0" fontId="16"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21" applyNumberFormat="0" applyFont="0" applyAlignment="0" applyProtection="0"/>
    <xf numFmtId="9" fontId="16" fillId="0" borderId="0" applyFont="0" applyFill="0" applyBorder="0" applyAlignment="0" applyProtection="0"/>
    <xf numFmtId="9" fontId="1" fillId="0" borderId="0" applyFont="0" applyFill="0" applyBorder="0" applyAlignment="0" applyProtection="0"/>
    <xf numFmtId="0" fontId="119"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31" fillId="20" borderId="8" applyNumberFormat="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20" borderId="1" applyNumberFormat="0" applyAlignment="0" applyProtection="0"/>
    <xf numFmtId="0" fontId="70" fillId="7" borderId="1" applyNumberFormat="0" applyAlignment="0" applyProtection="0"/>
    <xf numFmtId="0" fontId="61"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73" fillId="20" borderId="8" applyNumberFormat="0" applyAlignment="0" applyProtection="0"/>
    <xf numFmtId="0" fontId="62" fillId="0" borderId="9" applyNumberFormat="0" applyFill="0" applyAlignment="0" applyProtection="0"/>
    <xf numFmtId="0" fontId="20" fillId="20" borderId="1" applyNumberFormat="0" applyAlignment="0" applyProtection="0"/>
    <xf numFmtId="0" fontId="27" fillId="7" borderId="1" applyNumberFormat="0" applyAlignment="0" applyProtection="0"/>
    <xf numFmtId="0" fontId="31" fillId="20" borderId="8" applyNumberFormat="0" applyAlignment="0" applyProtection="0"/>
    <xf numFmtId="0" fontId="33" fillId="0" borderId="9" applyNumberFormat="0" applyFill="0" applyAlignment="0" applyProtection="0"/>
    <xf numFmtId="0" fontId="20" fillId="20" borderId="1" applyNumberFormat="0" applyAlignment="0" applyProtection="0"/>
    <xf numFmtId="0" fontId="27" fillId="7" borderId="1" applyNumberFormat="0" applyAlignment="0" applyProtection="0"/>
    <xf numFmtId="0" fontId="16" fillId="23" borderId="7" applyNumberFormat="0" applyFont="0" applyAlignment="0" applyProtection="0"/>
    <xf numFmtId="0" fontId="31" fillId="20" borderId="8" applyNumberFormat="0" applyAlignment="0" applyProtection="0"/>
    <xf numFmtId="0" fontId="33" fillId="0" borderId="9" applyNumberFormat="0" applyFill="0" applyAlignment="0" applyProtection="0"/>
    <xf numFmtId="0" fontId="1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19" fillId="0" borderId="0"/>
    <xf numFmtId="0" fontId="16"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33" fillId="0" borderId="9" applyNumberFormat="0" applyFill="0" applyAlignment="0" applyProtection="0"/>
    <xf numFmtId="0" fontId="27" fillId="7" borderId="1" applyNumberFormat="0" applyAlignment="0" applyProtection="0"/>
    <xf numFmtId="0" fontId="20" fillId="20" borderId="1" applyNumberFormat="0" applyAlignment="0" applyProtection="0"/>
    <xf numFmtId="0" fontId="20" fillId="20" borderId="1" applyNumberFormat="0" applyAlignment="0" applyProtection="0"/>
    <xf numFmtId="0" fontId="31" fillId="20" borderId="8" applyNumberFormat="0" applyAlignment="0" applyProtection="0"/>
    <xf numFmtId="0" fontId="64" fillId="20" borderId="1" applyNumberFormat="0" applyAlignment="0" applyProtection="0"/>
    <xf numFmtId="0" fontId="70" fillId="7" borderId="1" applyNumberFormat="0" applyAlignment="0" applyProtection="0"/>
    <xf numFmtId="0" fontId="31" fillId="20" borderId="8" applyNumberFormat="0" applyAlignment="0" applyProtection="0"/>
    <xf numFmtId="0" fontId="33" fillId="0" borderId="9" applyNumberFormat="0" applyFill="0" applyAlignment="0" applyProtection="0"/>
    <xf numFmtId="0" fontId="62" fillId="0" borderId="9" applyNumberFormat="0" applyFill="0" applyAlignment="0" applyProtection="0"/>
    <xf numFmtId="0" fontId="27" fillId="7" borderId="1" applyNumberFormat="0" applyAlignment="0" applyProtection="0"/>
    <xf numFmtId="0" fontId="73" fillId="20" borderId="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2" fillId="53" borderId="0" applyNumberFormat="0" applyBorder="0" applyAlignment="0" applyProtection="0"/>
    <xf numFmtId="0" fontId="123" fillId="54" borderId="0" applyNumberFormat="0" applyBorder="0" applyAlignment="0" applyProtection="0"/>
    <xf numFmtId="0" fontId="1" fillId="41" borderId="0" applyNumberFormat="0" applyBorder="0" applyAlignment="0" applyProtection="0"/>
    <xf numFmtId="0" fontId="1" fillId="0" borderId="0"/>
    <xf numFmtId="0" fontId="1" fillId="0" borderId="0"/>
    <xf numFmtId="0" fontId="1" fillId="0" borderId="0"/>
    <xf numFmtId="0" fontId="1" fillId="0" borderId="0"/>
    <xf numFmtId="0" fontId="20" fillId="20" borderId="1" applyNumberFormat="0" applyAlignment="0" applyProtection="0"/>
    <xf numFmtId="0" fontId="27" fillId="7" borderId="1" applyNumberFormat="0" applyAlignment="0" applyProtection="0"/>
    <xf numFmtId="0" fontId="31" fillId="20" borderId="8" applyNumberFormat="0" applyAlignment="0" applyProtection="0"/>
    <xf numFmtId="0" fontId="33" fillId="0" borderId="9" applyNumberFormat="0" applyFill="0" applyAlignment="0" applyProtection="0"/>
    <xf numFmtId="0" fontId="64" fillId="20" borderId="1" applyNumberFormat="0" applyAlignment="0" applyProtection="0"/>
    <xf numFmtId="0" fontId="70" fillId="7" borderId="1" applyNumberFormat="0" applyAlignment="0" applyProtection="0"/>
    <xf numFmtId="0" fontId="73" fillId="20" borderId="8" applyNumberFormat="0" applyAlignment="0" applyProtection="0"/>
    <xf numFmtId="0" fontId="62" fillId="0" borderId="9" applyNumberFormat="0" applyFill="0" applyAlignment="0" applyProtection="0"/>
    <xf numFmtId="0" fontId="20" fillId="20" borderId="1" applyNumberFormat="0" applyAlignment="0" applyProtection="0"/>
    <xf numFmtId="0" fontId="27" fillId="7" borderId="1" applyNumberFormat="0" applyAlignment="0" applyProtection="0"/>
    <xf numFmtId="0" fontId="31" fillId="20" borderId="8" applyNumberFormat="0" applyAlignment="0" applyProtection="0"/>
    <xf numFmtId="0" fontId="33" fillId="0" borderId="9" applyNumberFormat="0" applyFill="0" applyAlignment="0" applyProtection="0"/>
    <xf numFmtId="0" fontId="20" fillId="20" borderId="1" applyNumberFormat="0" applyAlignment="0" applyProtection="0"/>
    <xf numFmtId="0" fontId="27" fillId="7" borderId="1" applyNumberFormat="0" applyAlignment="0" applyProtection="0"/>
    <xf numFmtId="0" fontId="31" fillId="20" borderId="8" applyNumberFormat="0" applyAlignment="0" applyProtection="0"/>
    <xf numFmtId="0" fontId="33" fillId="0" borderId="9" applyNumberFormat="0" applyFill="0" applyAlignment="0" applyProtection="0"/>
  </cellStyleXfs>
  <cellXfs count="777">
    <xf numFmtId="0" fontId="0" fillId="0" borderId="0" xfId="0"/>
    <xf numFmtId="0" fontId="36" fillId="0" borderId="0" xfId="0" applyFont="1" applyFill="1" applyBorder="1"/>
    <xf numFmtId="0" fontId="30" fillId="0" borderId="0" xfId="0" applyFont="1" applyFill="1" applyBorder="1" applyAlignment="1">
      <alignment horizontal="right"/>
    </xf>
    <xf numFmtId="0" fontId="37" fillId="0" borderId="0" xfId="0" applyFont="1" applyFill="1"/>
    <xf numFmtId="3" fontId="38" fillId="0" borderId="0" xfId="0" applyNumberFormat="1" applyFont="1" applyFill="1" applyAlignment="1">
      <alignment vertical="top"/>
    </xf>
    <xf numFmtId="0" fontId="16" fillId="0" borderId="0" xfId="0" applyFont="1" applyFill="1"/>
    <xf numFmtId="0" fontId="16" fillId="0" borderId="0" xfId="0" applyFont="1" applyFill="1" applyAlignment="1">
      <alignment horizontal="left" indent="2"/>
    </xf>
    <xf numFmtId="0" fontId="16" fillId="0" borderId="0" xfId="0" applyFont="1" applyFill="1" applyBorder="1" applyAlignment="1">
      <alignment horizontal="left" indent="2"/>
    </xf>
    <xf numFmtId="3" fontId="16" fillId="0" borderId="0" xfId="0" applyNumberFormat="1" applyFont="1" applyFill="1" applyAlignment="1"/>
    <xf numFmtId="3" fontId="37" fillId="0" borderId="0" xfId="0" applyNumberFormat="1" applyFont="1" applyFill="1" applyAlignment="1"/>
    <xf numFmtId="0" fontId="16" fillId="0" borderId="0" xfId="0" applyFont="1"/>
    <xf numFmtId="0" fontId="41" fillId="0" borderId="0" xfId="0" applyFont="1" applyFill="1" applyBorder="1"/>
    <xf numFmtId="0" fontId="48" fillId="0" borderId="0" xfId="0" applyFont="1" applyFill="1" applyBorder="1"/>
    <xf numFmtId="3" fontId="37" fillId="0" borderId="0" xfId="0" applyNumberFormat="1" applyFont="1"/>
    <xf numFmtId="0" fontId="37" fillId="0" borderId="0" xfId="0" applyFont="1"/>
    <xf numFmtId="3" fontId="16" fillId="0" borderId="0" xfId="0" applyNumberFormat="1" applyFont="1"/>
    <xf numFmtId="0" fontId="55" fillId="0" borderId="0" xfId="0" applyFont="1" applyFill="1" applyBorder="1"/>
    <xf numFmtId="0" fontId="0" fillId="0" borderId="0" xfId="0" applyBorder="1"/>
    <xf numFmtId="3" fontId="0" fillId="0" borderId="0" xfId="0" applyNumberFormat="1"/>
    <xf numFmtId="0" fontId="0" fillId="0" borderId="0" xfId="0" applyFill="1" applyBorder="1"/>
    <xf numFmtId="0" fontId="0" fillId="0" borderId="0" xfId="0"/>
    <xf numFmtId="0" fontId="48" fillId="0" borderId="0" xfId="0" applyFont="1"/>
    <xf numFmtId="0" fontId="48" fillId="0" borderId="0" xfId="0" applyFont="1" applyFill="1"/>
    <xf numFmtId="3" fontId="16" fillId="0" borderId="0" xfId="0" applyNumberFormat="1" applyFont="1" applyFill="1"/>
    <xf numFmtId="14" fontId="37" fillId="0" borderId="0" xfId="0" applyNumberFormat="1" applyFont="1" applyFill="1" applyBorder="1" applyAlignment="1">
      <alignment horizontal="left"/>
    </xf>
    <xf numFmtId="3" fontId="0" fillId="0" borderId="0" xfId="0" applyNumberFormat="1" applyBorder="1"/>
    <xf numFmtId="0" fontId="16" fillId="0" borderId="0" xfId="0" applyFont="1" applyAlignment="1">
      <alignment horizontal="right"/>
    </xf>
    <xf numFmtId="0" fontId="16" fillId="0" borderId="0" xfId="0" applyFont="1" applyFill="1" applyAlignment="1">
      <alignment horizontal="left" vertical="top"/>
    </xf>
    <xf numFmtId="0" fontId="47" fillId="0" borderId="0" xfId="0" applyFont="1" applyFill="1"/>
    <xf numFmtId="0" fontId="16" fillId="0" borderId="0" xfId="0" applyFont="1" applyFill="1" applyAlignment="1">
      <alignment horizontal="left"/>
    </xf>
    <xf numFmtId="0" fontId="38" fillId="0" borderId="0" xfId="0" applyNumberFormat="1" applyFont="1" applyFill="1" applyAlignment="1">
      <alignment horizontal="left" vertical="top" indent="3"/>
    </xf>
    <xf numFmtId="0" fontId="16" fillId="0" borderId="0" xfId="0" applyFont="1" applyAlignment="1">
      <alignment horizontal="left" indent="2"/>
    </xf>
    <xf numFmtId="0" fontId="16" fillId="0" borderId="0" xfId="0" applyFont="1" applyAlignment="1">
      <alignment horizontal="left" wrapText="1"/>
    </xf>
    <xf numFmtId="3" fontId="77" fillId="0" borderId="0" xfId="0" applyNumberFormat="1" applyFont="1"/>
    <xf numFmtId="0" fontId="52" fillId="0" borderId="0" xfId="36" applyNumberFormat="1" applyFont="1" applyFill="1" applyBorder="1" applyAlignment="1" applyProtection="1">
      <alignment horizontal="left" vertical="top" indent="2"/>
    </xf>
    <xf numFmtId="0" fontId="52" fillId="0" borderId="0" xfId="36" applyNumberFormat="1" applyFont="1" applyFill="1" applyBorder="1" applyAlignment="1" applyProtection="1">
      <alignment horizontal="left" vertical="top" indent="3"/>
    </xf>
    <xf numFmtId="0" fontId="37" fillId="0" borderId="0" xfId="0" applyNumberFormat="1" applyFont="1" applyFill="1" applyAlignment="1">
      <alignment horizontal="left" vertical="top" indent="2"/>
    </xf>
    <xf numFmtId="0" fontId="16" fillId="0" borderId="0" xfId="31" applyNumberFormat="1" applyFont="1" applyFill="1" applyBorder="1" applyAlignment="1" applyProtection="1">
      <alignment horizontal="left" vertical="top" wrapText="1" indent="2"/>
    </xf>
    <xf numFmtId="0" fontId="38" fillId="0" borderId="0" xfId="0" applyNumberFormat="1" applyFont="1" applyFill="1" applyAlignment="1">
      <alignment horizontal="left" indent="1"/>
    </xf>
    <xf numFmtId="49" fontId="46" fillId="0" borderId="0" xfId="0" quotePrefix="1" applyNumberFormat="1" applyFont="1" applyFill="1" applyAlignment="1">
      <alignment horizontal="left" indent="1"/>
    </xf>
    <xf numFmtId="49" fontId="46" fillId="0" borderId="0" xfId="0" quotePrefix="1" applyNumberFormat="1" applyFont="1" applyFill="1" applyAlignment="1">
      <alignment horizontal="left" wrapText="1" indent="1"/>
    </xf>
    <xf numFmtId="0" fontId="16" fillId="0" borderId="0" xfId="0" applyFont="1" applyAlignment="1">
      <alignment horizontal="right"/>
    </xf>
    <xf numFmtId="0" fontId="37" fillId="0" borderId="0" xfId="0" applyFont="1" applyAlignment="1">
      <alignment horizontal="right" wrapText="1" indent="1"/>
    </xf>
    <xf numFmtId="3" fontId="83" fillId="0" borderId="0" xfId="0" applyNumberFormat="1" applyFont="1"/>
    <xf numFmtId="0" fontId="37" fillId="0" borderId="0" xfId="0" applyFont="1" applyAlignment="1">
      <alignment horizontal="right"/>
    </xf>
    <xf numFmtId="3" fontId="0" fillId="0" borderId="0" xfId="0" applyNumberFormat="1" applyBorder="1" applyAlignment="1">
      <alignment horizontal="right"/>
    </xf>
    <xf numFmtId="0" fontId="56" fillId="0" borderId="0" xfId="0" applyFont="1" applyFill="1" applyBorder="1"/>
    <xf numFmtId="3" fontId="16" fillId="0" borderId="0" xfId="31" applyNumberFormat="1" applyFont="1" applyFill="1" applyBorder="1" applyAlignment="1" applyProtection="1">
      <alignment vertical="top" wrapText="1"/>
    </xf>
    <xf numFmtId="3" fontId="46" fillId="0" borderId="0" xfId="31" applyNumberFormat="1" applyFont="1" applyFill="1" applyBorder="1" applyAlignment="1" applyProtection="1">
      <alignment vertical="top" wrapText="1"/>
    </xf>
    <xf numFmtId="3" fontId="35" fillId="0" borderId="0" xfId="31" applyNumberFormat="1" applyFont="1" applyFill="1" applyBorder="1" applyAlignment="1" applyProtection="1">
      <alignment vertical="top" wrapText="1"/>
    </xf>
    <xf numFmtId="3" fontId="38" fillId="0" borderId="0" xfId="31" applyNumberFormat="1" applyFont="1" applyFill="1" applyBorder="1" applyAlignment="1" applyProtection="1">
      <alignment vertical="top" wrapText="1"/>
    </xf>
    <xf numFmtId="3" fontId="52" fillId="0" borderId="0" xfId="31" applyNumberFormat="1" applyFont="1" applyFill="1" applyBorder="1" applyAlignment="1" applyProtection="1">
      <alignment vertical="top" wrapText="1"/>
    </xf>
    <xf numFmtId="0" fontId="16" fillId="0" borderId="0" xfId="0" applyFont="1" applyAlignment="1">
      <alignment horizontal="right"/>
    </xf>
    <xf numFmtId="4" fontId="36" fillId="0" borderId="0" xfId="0" applyNumberFormat="1" applyFont="1" applyFill="1" applyBorder="1" applyAlignment="1"/>
    <xf numFmtId="4" fontId="48" fillId="0" borderId="0" xfId="0" applyNumberFormat="1" applyFont="1" applyFill="1"/>
    <xf numFmtId="4" fontId="48" fillId="0" borderId="0" xfId="0" applyNumberFormat="1" applyFont="1" applyFill="1" applyBorder="1" applyAlignment="1"/>
    <xf numFmtId="0" fontId="16" fillId="0" borderId="0" xfId="49" applyFont="1"/>
    <xf numFmtId="3" fontId="16" fillId="0" borderId="0" xfId="49" applyNumberFormat="1" applyFont="1"/>
    <xf numFmtId="3" fontId="37" fillId="0" borderId="0" xfId="49" applyNumberFormat="1" applyFont="1"/>
    <xf numFmtId="0" fontId="46" fillId="0" borderId="0" xfId="31" quotePrefix="1" applyNumberFormat="1" applyFont="1" applyFill="1" applyBorder="1" applyAlignment="1" applyProtection="1">
      <alignment horizontal="left" vertical="top" indent="1"/>
    </xf>
    <xf numFmtId="0" fontId="46" fillId="0" borderId="0" xfId="31" quotePrefix="1" applyNumberFormat="1" applyFont="1" applyFill="1" applyBorder="1" applyAlignment="1" applyProtection="1">
      <alignment horizontal="left" vertical="top" wrapText="1" indent="1"/>
    </xf>
    <xf numFmtId="49" fontId="46" fillId="0" borderId="0" xfId="31" quotePrefix="1" applyNumberFormat="1" applyFont="1" applyFill="1" applyBorder="1" applyAlignment="1" applyProtection="1">
      <alignment horizontal="left" vertical="top" wrapText="1" indent="1"/>
    </xf>
    <xf numFmtId="0" fontId="35" fillId="0" borderId="0" xfId="31" applyNumberFormat="1" applyFont="1" applyFill="1" applyBorder="1" applyAlignment="1" applyProtection="1">
      <alignment horizontal="left" vertical="top" wrapText="1" indent="4"/>
    </xf>
    <xf numFmtId="0" fontId="16" fillId="0" borderId="0" xfId="31" applyNumberFormat="1" applyFont="1" applyFill="1" applyBorder="1" applyAlignment="1" applyProtection="1">
      <alignment horizontal="left" vertical="top" indent="2"/>
    </xf>
    <xf numFmtId="0" fontId="35" fillId="0" borderId="0" xfId="31" applyNumberFormat="1" applyFont="1" applyFill="1" applyBorder="1" applyAlignment="1" applyProtection="1">
      <alignment horizontal="left" vertical="top" wrapText="1" indent="3"/>
    </xf>
    <xf numFmtId="0" fontId="16" fillId="0" borderId="0" xfId="31" applyNumberFormat="1" applyFont="1" applyFill="1" applyBorder="1" applyAlignment="1" applyProtection="1">
      <alignment horizontal="left" vertical="top" wrapText="1"/>
    </xf>
    <xf numFmtId="0" fontId="16" fillId="0" borderId="0" xfId="31" applyNumberFormat="1" applyFont="1" applyFill="1" applyBorder="1" applyAlignment="1" applyProtection="1">
      <alignment horizontal="left" vertical="top" wrapText="1" indent="3"/>
    </xf>
    <xf numFmtId="0" fontId="35" fillId="0" borderId="0" xfId="31" applyNumberFormat="1" applyFont="1" applyFill="1" applyBorder="1" applyAlignment="1" applyProtection="1">
      <alignment horizontal="left" vertical="top" wrapText="1" indent="5"/>
    </xf>
    <xf numFmtId="0" fontId="46" fillId="0" borderId="0" xfId="31" applyNumberFormat="1" applyFont="1" applyFill="1" applyBorder="1" applyAlignment="1" applyProtection="1">
      <alignment horizontal="left" vertical="top" wrapText="1" indent="1"/>
    </xf>
    <xf numFmtId="3" fontId="16" fillId="0" borderId="0" xfId="49" applyNumberFormat="1" applyFont="1"/>
    <xf numFmtId="0" fontId="35" fillId="0" borderId="0" xfId="49" applyFont="1" applyAlignment="1">
      <alignment vertical="top" wrapText="1"/>
    </xf>
    <xf numFmtId="3" fontId="35" fillId="0" borderId="0" xfId="49" applyNumberFormat="1" applyFont="1" applyAlignment="1">
      <alignment vertical="top" wrapText="1"/>
    </xf>
    <xf numFmtId="0" fontId="0" fillId="0" borderId="0" xfId="0" applyAlignment="1">
      <alignment horizontal="left"/>
    </xf>
    <xf numFmtId="0" fontId="0" fillId="0" borderId="0" xfId="0" applyNumberFormat="1"/>
    <xf numFmtId="3" fontId="16" fillId="0" borderId="0" xfId="31" applyNumberFormat="1" applyFont="1" applyFill="1" applyBorder="1" applyAlignment="1" applyProtection="1">
      <alignment vertical="top"/>
    </xf>
    <xf numFmtId="0" fontId="0" fillId="0" borderId="0" xfId="0"/>
    <xf numFmtId="3" fontId="46" fillId="0" borderId="0" xfId="31" quotePrefix="1" applyNumberFormat="1" applyFont="1" applyFill="1" applyBorder="1" applyAlignment="1" applyProtection="1">
      <alignment vertical="top" wrapText="1"/>
    </xf>
    <xf numFmtId="0" fontId="0" fillId="0" borderId="0" xfId="0" applyAlignment="1">
      <alignment vertical="top"/>
    </xf>
    <xf numFmtId="0" fontId="35" fillId="0" borderId="0" xfId="31" applyNumberFormat="1" applyFont="1" applyFill="1" applyBorder="1" applyAlignment="1" applyProtection="1">
      <alignment horizontal="left" vertical="top" wrapText="1" indent="2"/>
    </xf>
    <xf numFmtId="2" fontId="38" fillId="0" borderId="0" xfId="0" applyNumberFormat="1" applyFont="1" applyAlignment="1">
      <alignment horizontal="left" indent="2"/>
    </xf>
    <xf numFmtId="3" fontId="38" fillId="0" borderId="0" xfId="148" applyNumberFormat="1" applyFont="1" applyAlignment="1">
      <alignment vertical="top"/>
    </xf>
    <xf numFmtId="3" fontId="48" fillId="0" borderId="0" xfId="43" applyNumberFormat="1" applyFont="1"/>
    <xf numFmtId="0" fontId="49" fillId="0" borderId="0" xfId="43" applyFont="1" applyAlignment="1">
      <alignment horizontal="left" vertical="top" indent="3"/>
    </xf>
    <xf numFmtId="0" fontId="49" fillId="0" borderId="0" xfId="43" applyFont="1" applyAlignment="1">
      <alignment horizontal="left" vertical="top" wrapText="1" indent="3"/>
    </xf>
    <xf numFmtId="0" fontId="54" fillId="0" borderId="0" xfId="0" applyFont="1" applyAlignment="1">
      <alignment horizontal="left" vertical="top" wrapText="1" indent="4"/>
    </xf>
    <xf numFmtId="3" fontId="54" fillId="0" borderId="0" xfId="0" applyNumberFormat="1" applyFont="1" applyAlignment="1">
      <alignment horizontal="right" vertical="top"/>
    </xf>
    <xf numFmtId="3" fontId="35" fillId="0" borderId="0" xfId="0" applyNumberFormat="1" applyFont="1" applyAlignment="1">
      <alignment horizontal="right" vertical="top" wrapText="1"/>
    </xf>
    <xf numFmtId="0" fontId="47" fillId="0" borderId="0" xfId="0" applyFont="1" applyAlignment="1">
      <alignment horizontal="right"/>
    </xf>
    <xf numFmtId="0" fontId="16" fillId="0" borderId="0" xfId="0" applyFont="1" applyBorder="1" applyAlignment="1">
      <alignment horizontal="right"/>
    </xf>
    <xf numFmtId="9" fontId="16" fillId="0" borderId="0" xfId="46" applyFont="1" applyBorder="1" applyAlignment="1">
      <alignment horizontal="right"/>
    </xf>
    <xf numFmtId="0" fontId="48" fillId="0" borderId="0" xfId="43" applyFont="1"/>
    <xf numFmtId="9" fontId="38" fillId="0" borderId="0" xfId="150" applyFont="1" applyAlignment="1">
      <alignment vertical="top"/>
    </xf>
    <xf numFmtId="9" fontId="48" fillId="0" borderId="0" xfId="150" applyFont="1"/>
    <xf numFmtId="9" fontId="54" fillId="0" borderId="0" xfId="150" applyFont="1" applyAlignment="1">
      <alignment horizontal="right" vertical="top"/>
    </xf>
    <xf numFmtId="9" fontId="35" fillId="0" borderId="0" xfId="150" applyFont="1" applyAlignment="1">
      <alignment horizontal="right" vertical="top" wrapText="1"/>
    </xf>
    <xf numFmtId="9" fontId="16" fillId="0" borderId="0" xfId="150" applyFont="1" applyFill="1" applyBorder="1" applyAlignment="1" applyProtection="1">
      <alignment vertical="top"/>
    </xf>
    <xf numFmtId="9" fontId="16" fillId="0" borderId="0" xfId="150" applyFont="1" applyFill="1" applyBorder="1" applyAlignment="1" applyProtection="1">
      <alignment vertical="top" wrapText="1"/>
    </xf>
    <xf numFmtId="9" fontId="46" fillId="0" borderId="0" xfId="150" applyFont="1" applyFill="1" applyBorder="1" applyAlignment="1" applyProtection="1">
      <alignment vertical="top" wrapText="1"/>
    </xf>
    <xf numFmtId="9" fontId="35" fillId="0" borderId="0" xfId="150" applyFont="1" applyFill="1" applyBorder="1" applyAlignment="1" applyProtection="1">
      <alignment vertical="top" wrapText="1"/>
    </xf>
    <xf numFmtId="9" fontId="38" fillId="0" borderId="0" xfId="150" applyFont="1" applyFill="1" applyBorder="1" applyAlignment="1" applyProtection="1">
      <alignment vertical="top" wrapText="1"/>
    </xf>
    <xf numFmtId="9" fontId="46" fillId="0" borderId="0" xfId="150" quotePrefix="1" applyFont="1" applyFill="1" applyBorder="1" applyAlignment="1" applyProtection="1">
      <alignment vertical="top" wrapText="1"/>
    </xf>
    <xf numFmtId="9" fontId="0" fillId="0" borderId="0" xfId="150" applyFont="1"/>
    <xf numFmtId="0" fontId="45" fillId="0" borderId="0" xfId="36" applyFont="1" applyAlignment="1">
      <alignment vertical="top" wrapText="1"/>
    </xf>
    <xf numFmtId="0" fontId="45" fillId="0" borderId="0" xfId="36" applyFont="1" applyAlignment="1">
      <alignment vertical="top"/>
    </xf>
    <xf numFmtId="0" fontId="45" fillId="0" borderId="0" xfId="0" applyFont="1" applyAlignment="1">
      <alignment horizontal="left" vertical="top"/>
    </xf>
    <xf numFmtId="0" fontId="16" fillId="0" borderId="0" xfId="50"/>
    <xf numFmtId="0" fontId="47" fillId="0" borderId="0" xfId="43" applyFont="1" applyAlignment="1">
      <alignment horizontal="left" vertical="top"/>
    </xf>
    <xf numFmtId="3" fontId="47" fillId="0" borderId="0" xfId="43" applyNumberFormat="1" applyFont="1" applyAlignment="1">
      <alignment vertical="top"/>
    </xf>
    <xf numFmtId="3" fontId="48" fillId="0" borderId="0" xfId="43" applyNumberFormat="1" applyFont="1" applyAlignment="1">
      <alignment vertical="top"/>
    </xf>
    <xf numFmtId="0" fontId="59" fillId="0" borderId="0" xfId="43" applyFont="1" applyAlignment="1">
      <alignment horizontal="left" vertical="top"/>
    </xf>
    <xf numFmtId="3" fontId="59" fillId="0" borderId="0" xfId="43" applyNumberFormat="1" applyFont="1" applyAlignment="1">
      <alignment vertical="top"/>
    </xf>
    <xf numFmtId="0" fontId="48" fillId="0" borderId="0" xfId="43" applyFont="1" applyAlignment="1">
      <alignment horizontal="left" vertical="top"/>
    </xf>
    <xf numFmtId="3" fontId="49" fillId="0" borderId="0" xfId="43" applyNumberFormat="1" applyFont="1" applyAlignment="1">
      <alignment vertical="top" wrapText="1"/>
    </xf>
    <xf numFmtId="0" fontId="84" fillId="0" borderId="0" xfId="43" applyFont="1" applyAlignment="1">
      <alignment horizontal="right" vertical="top" wrapText="1" indent="3"/>
    </xf>
    <xf numFmtId="3" fontId="84" fillId="0" borderId="0" xfId="43" applyNumberFormat="1" applyFont="1" applyAlignment="1">
      <alignment vertical="top" wrapText="1"/>
    </xf>
    <xf numFmtId="0" fontId="16" fillId="0" borderId="0" xfId="43" applyAlignment="1">
      <alignment horizontal="left" vertical="top"/>
    </xf>
    <xf numFmtId="0" fontId="38" fillId="0" borderId="0" xfId="43" applyFont="1" applyAlignment="1">
      <alignment horizontal="left" vertical="top" wrapText="1" indent="3"/>
    </xf>
    <xf numFmtId="3" fontId="38" fillId="0" borderId="0" xfId="43" applyNumberFormat="1" applyFont="1" applyAlignment="1">
      <alignment vertical="top" wrapText="1"/>
    </xf>
    <xf numFmtId="3" fontId="49" fillId="0" borderId="0" xfId="43" applyNumberFormat="1" applyFont="1" applyAlignment="1">
      <alignment vertical="top"/>
    </xf>
    <xf numFmtId="0" fontId="48" fillId="0" borderId="0" xfId="43" applyFont="1" applyAlignment="1">
      <alignment horizontal="left" vertical="top" wrapText="1"/>
    </xf>
    <xf numFmtId="3" fontId="48" fillId="0" borderId="0" xfId="43" applyNumberFormat="1" applyFont="1" applyAlignment="1">
      <alignment vertical="top" wrapText="1"/>
    </xf>
    <xf numFmtId="0" fontId="38" fillId="0" borderId="0" xfId="148" applyFont="1" applyAlignment="1">
      <alignment horizontal="left" vertical="top" indent="3"/>
    </xf>
    <xf numFmtId="0" fontId="48" fillId="0" borderId="0" xfId="43" applyFont="1" applyAlignment="1">
      <alignment horizontal="left"/>
    </xf>
    <xf numFmtId="3" fontId="37" fillId="0" borderId="0" xfId="0" applyNumberFormat="1" applyFont="1" applyAlignment="1">
      <alignment vertical="top"/>
    </xf>
    <xf numFmtId="3" fontId="52" fillId="0" borderId="0" xfId="36" applyNumberFormat="1" applyFont="1" applyAlignment="1">
      <alignment vertical="top"/>
    </xf>
    <xf numFmtId="3" fontId="52" fillId="0" borderId="0" xfId="36" applyNumberFormat="1" applyFont="1" applyAlignment="1">
      <alignment vertical="top" wrapText="1"/>
    </xf>
    <xf numFmtId="3" fontId="41" fillId="0" borderId="0" xfId="0" applyNumberFormat="1" applyFont="1" applyAlignment="1">
      <alignment vertical="top"/>
    </xf>
    <xf numFmtId="3" fontId="37" fillId="0" borderId="0" xfId="36" applyNumberFormat="1" applyFont="1" applyAlignment="1">
      <alignment vertical="top"/>
    </xf>
    <xf numFmtId="3" fontId="38" fillId="0" borderId="0" xfId="36" applyNumberFormat="1" applyFont="1" applyAlignment="1">
      <alignment vertical="top"/>
    </xf>
    <xf numFmtId="3" fontId="46" fillId="28" borderId="0" xfId="36" applyNumberFormat="1" applyFont="1" applyFill="1" applyAlignment="1">
      <alignment vertical="top"/>
    </xf>
    <xf numFmtId="0" fontId="52" fillId="0" borderId="0" xfId="36" applyFont="1" applyAlignment="1">
      <alignment horizontal="left" vertical="top" indent="1"/>
    </xf>
    <xf numFmtId="3" fontId="16" fillId="0" borderId="0" xfId="37" applyNumberFormat="1" applyFont="1" applyAlignment="1">
      <alignment vertical="top"/>
    </xf>
    <xf numFmtId="0" fontId="52" fillId="0" borderId="0" xfId="36" applyFont="1" applyAlignment="1">
      <alignment horizontal="left" vertical="top" indent="2"/>
    </xf>
    <xf numFmtId="0" fontId="47" fillId="0" borderId="0" xfId="0" applyFont="1" applyAlignment="1">
      <alignment vertical="top"/>
    </xf>
    <xf numFmtId="3" fontId="47" fillId="0" borderId="0" xfId="0" applyNumberFormat="1" applyFont="1" applyAlignment="1">
      <alignment vertical="top"/>
    </xf>
    <xf numFmtId="0" fontId="16" fillId="0" borderId="0" xfId="0" applyFont="1" applyAlignment="1">
      <alignment vertical="top"/>
    </xf>
    <xf numFmtId="3" fontId="16" fillId="0" borderId="0" xfId="0" applyNumberFormat="1" applyFont="1" applyAlignment="1">
      <alignment vertical="top"/>
    </xf>
    <xf numFmtId="2" fontId="38" fillId="0" borderId="0" xfId="0" applyNumberFormat="1" applyFont="1" applyAlignment="1">
      <alignment horizontal="left" vertical="top" indent="2"/>
    </xf>
    <xf numFmtId="3" fontId="38" fillId="0" borderId="0" xfId="0" applyNumberFormat="1" applyFont="1" applyAlignment="1">
      <alignment vertical="top"/>
    </xf>
    <xf numFmtId="2" fontId="38" fillId="0" borderId="0" xfId="0" applyNumberFormat="1" applyFont="1" applyAlignment="1">
      <alignment horizontal="left" vertical="top"/>
    </xf>
    <xf numFmtId="0" fontId="48" fillId="0" borderId="0" xfId="0" applyFont="1" applyAlignment="1">
      <alignment vertical="top"/>
    </xf>
    <xf numFmtId="3" fontId="48" fillId="0" borderId="0" xfId="0" applyNumberFormat="1" applyFont="1" applyAlignment="1">
      <alignment vertical="top"/>
    </xf>
    <xf numFmtId="0" fontId="49" fillId="0" borderId="0" xfId="0" applyFont="1" applyAlignment="1">
      <alignment horizontal="left" vertical="top"/>
    </xf>
    <xf numFmtId="3" fontId="49" fillId="0" borderId="0" xfId="0" applyNumberFormat="1" applyFont="1" applyAlignment="1">
      <alignment vertical="top"/>
    </xf>
    <xf numFmtId="2" fontId="49" fillId="0" borderId="0" xfId="0" applyNumberFormat="1" applyFont="1" applyAlignment="1">
      <alignment horizontal="left" vertical="top" indent="2"/>
    </xf>
    <xf numFmtId="2" fontId="49" fillId="0" borderId="0" xfId="0" applyNumberFormat="1" applyFont="1" applyAlignment="1">
      <alignment horizontal="left" vertical="top"/>
    </xf>
    <xf numFmtId="0" fontId="37" fillId="0" borderId="0" xfId="0" applyFont="1" applyAlignment="1">
      <alignment horizontal="left" vertical="top"/>
    </xf>
    <xf numFmtId="0" fontId="16" fillId="0" borderId="0" xfId="0" applyFont="1" applyAlignment="1">
      <alignment horizontal="left" vertical="top"/>
    </xf>
    <xf numFmtId="0" fontId="48" fillId="0" borderId="0" xfId="0" applyFont="1" applyAlignment="1">
      <alignment horizontal="left" vertical="top" indent="1"/>
    </xf>
    <xf numFmtId="2" fontId="38" fillId="0" borderId="0" xfId="0" applyNumberFormat="1" applyFont="1" applyAlignment="1">
      <alignment horizontal="left" vertical="top" indent="3"/>
    </xf>
    <xf numFmtId="0" fontId="48" fillId="0" borderId="0" xfId="0" applyFont="1" applyAlignment="1">
      <alignment horizontal="left" indent="1"/>
    </xf>
    <xf numFmtId="3" fontId="48" fillId="0" borderId="0" xfId="0" applyNumberFormat="1" applyFont="1"/>
    <xf numFmtId="3" fontId="38" fillId="0" borderId="0" xfId="0" applyNumberFormat="1" applyFont="1"/>
    <xf numFmtId="0" fontId="47" fillId="0" borderId="0" xfId="0" applyFont="1"/>
    <xf numFmtId="3" fontId="47" fillId="0" borderId="0" xfId="0" applyNumberFormat="1" applyFont="1"/>
    <xf numFmtId="3" fontId="0" fillId="0" borderId="0" xfId="0" applyNumberFormat="1" applyAlignment="1">
      <alignment vertical="top"/>
    </xf>
    <xf numFmtId="9" fontId="47" fillId="0" borderId="0" xfId="150" applyFont="1" applyAlignment="1">
      <alignment vertical="top"/>
    </xf>
    <xf numFmtId="9" fontId="16" fillId="0" borderId="0" xfId="150" applyFont="1" applyAlignment="1">
      <alignment vertical="top"/>
    </xf>
    <xf numFmtId="9" fontId="48" fillId="0" borderId="0" xfId="150" applyFont="1" applyAlignment="1">
      <alignment vertical="top"/>
    </xf>
    <xf numFmtId="9" fontId="49" fillId="0" borderId="0" xfId="150" applyFont="1" applyAlignment="1">
      <alignment vertical="top"/>
    </xf>
    <xf numFmtId="9" fontId="37" fillId="0" borderId="0" xfId="150" applyFont="1" applyAlignment="1">
      <alignment vertical="top"/>
    </xf>
    <xf numFmtId="9" fontId="47" fillId="0" borderId="0" xfId="150" applyFont="1"/>
    <xf numFmtId="9" fontId="0" fillId="0" borderId="0" xfId="150" applyFont="1" applyAlignment="1">
      <alignment vertical="top"/>
    </xf>
    <xf numFmtId="9" fontId="37" fillId="0" borderId="0" xfId="150" applyFont="1"/>
    <xf numFmtId="3" fontId="16" fillId="0" borderId="0" xfId="43" applyNumberFormat="1" applyAlignment="1">
      <alignment vertical="top"/>
    </xf>
    <xf numFmtId="0" fontId="38" fillId="0" borderId="0" xfId="43" applyFont="1" applyAlignment="1">
      <alignment horizontal="left" vertical="top" indent="3"/>
    </xf>
    <xf numFmtId="3" fontId="38" fillId="0" borderId="0" xfId="43" applyNumberFormat="1" applyFont="1" applyAlignment="1">
      <alignment vertical="top"/>
    </xf>
    <xf numFmtId="0" fontId="80" fillId="0" borderId="0" xfId="43" applyFont="1" applyAlignment="1">
      <alignment horizontal="left" vertical="top" indent="3"/>
    </xf>
    <xf numFmtId="3" fontId="80" fillId="0" borderId="0" xfId="43" applyNumberFormat="1" applyFont="1" applyAlignment="1">
      <alignment vertical="top"/>
    </xf>
    <xf numFmtId="0" fontId="16" fillId="0" borderId="0" xfId="43" applyAlignment="1">
      <alignment horizontal="left" wrapText="1"/>
    </xf>
    <xf numFmtId="0" fontId="87" fillId="0" borderId="0" xfId="43" applyFont="1" applyAlignment="1">
      <alignment horizontal="left" vertical="top" wrapText="1" indent="3"/>
    </xf>
    <xf numFmtId="3" fontId="87" fillId="0" borderId="0" xfId="43" applyNumberFormat="1" applyFont="1" applyAlignment="1">
      <alignment vertical="top" wrapText="1"/>
    </xf>
    <xf numFmtId="2" fontId="49" fillId="0" borderId="0" xfId="43" applyNumberFormat="1" applyFont="1" applyAlignment="1">
      <alignment horizontal="left" vertical="top" wrapText="1" indent="3"/>
    </xf>
    <xf numFmtId="0" fontId="48" fillId="0" borderId="0" xfId="148" applyFont="1" applyAlignment="1">
      <alignment horizontal="left" vertical="top"/>
    </xf>
    <xf numFmtId="3" fontId="48" fillId="0" borderId="0" xfId="148" applyNumberFormat="1" applyFont="1" applyAlignment="1">
      <alignment vertical="top"/>
    </xf>
    <xf numFmtId="0" fontId="49" fillId="0" borderId="0" xfId="148" applyFont="1" applyAlignment="1">
      <alignment horizontal="left" vertical="top" wrapText="1" indent="3"/>
    </xf>
    <xf numFmtId="3" fontId="49" fillId="0" borderId="0" xfId="148" applyNumberFormat="1" applyFont="1" applyAlignment="1">
      <alignment vertical="top" wrapText="1"/>
    </xf>
    <xf numFmtId="0" fontId="49" fillId="0" borderId="0" xfId="0" applyFont="1" applyAlignment="1">
      <alignment horizontal="left" vertical="top" indent="3"/>
    </xf>
    <xf numFmtId="16" fontId="48" fillId="0" borderId="0" xfId="43" applyNumberFormat="1" applyFont="1" applyAlignment="1">
      <alignment horizontal="left" vertical="top"/>
    </xf>
    <xf numFmtId="0" fontId="59" fillId="0" borderId="0" xfId="43" applyFont="1" applyAlignment="1">
      <alignment horizontal="left" vertical="top" wrapText="1"/>
    </xf>
    <xf numFmtId="3" fontId="59" fillId="0" borderId="0" xfId="43" applyNumberFormat="1" applyFont="1" applyAlignment="1">
      <alignment vertical="top" wrapText="1"/>
    </xf>
    <xf numFmtId="3" fontId="53" fillId="0" borderId="0" xfId="43" applyNumberFormat="1" applyFont="1"/>
    <xf numFmtId="0" fontId="53" fillId="0" borderId="0" xfId="43" applyFont="1" applyAlignment="1">
      <alignment horizontal="right"/>
    </xf>
    <xf numFmtId="0" fontId="35" fillId="0" borderId="0" xfId="36" applyFont="1" applyAlignment="1">
      <alignment horizontal="left" vertical="top" wrapText="1" indent="2"/>
    </xf>
    <xf numFmtId="4" fontId="48" fillId="0" borderId="0" xfId="0" applyNumberFormat="1" applyFont="1"/>
    <xf numFmtId="4" fontId="82" fillId="0" borderId="0" xfId="0" applyNumberFormat="1" applyFont="1"/>
    <xf numFmtId="9" fontId="49" fillId="0" borderId="0" xfId="150" applyFont="1" applyAlignment="1">
      <alignment vertical="top" wrapText="1"/>
    </xf>
    <xf numFmtId="9" fontId="48" fillId="0" borderId="0" xfId="150" applyFont="1" applyAlignment="1">
      <alignment vertical="top" wrapText="1"/>
    </xf>
    <xf numFmtId="9" fontId="59" fillId="0" borderId="0" xfId="150" applyFont="1" applyAlignment="1">
      <alignment vertical="top"/>
    </xf>
    <xf numFmtId="9" fontId="38" fillId="0" borderId="0" xfId="150" applyFont="1" applyAlignment="1">
      <alignment vertical="top" wrapText="1"/>
    </xf>
    <xf numFmtId="9" fontId="84" fillId="0" borderId="0" xfId="150" applyFont="1" applyAlignment="1">
      <alignment vertical="top" wrapText="1"/>
    </xf>
    <xf numFmtId="9" fontId="80" fillId="0" borderId="0" xfId="150" applyFont="1" applyAlignment="1">
      <alignment vertical="top"/>
    </xf>
    <xf numFmtId="9" fontId="87" fillId="0" borderId="0" xfId="150" applyFont="1" applyAlignment="1">
      <alignment vertical="top" wrapText="1"/>
    </xf>
    <xf numFmtId="9" fontId="59" fillId="0" borderId="0" xfId="150" applyFont="1" applyAlignment="1">
      <alignment vertical="top" wrapText="1"/>
    </xf>
    <xf numFmtId="9" fontId="53" fillId="0" borderId="0" xfId="150" applyFont="1"/>
    <xf numFmtId="9" fontId="82" fillId="0" borderId="0" xfId="150" applyFont="1"/>
    <xf numFmtId="0" fontId="37" fillId="0" borderId="0" xfId="0" applyFont="1" applyAlignment="1">
      <alignment vertical="top"/>
    </xf>
    <xf numFmtId="3" fontId="37" fillId="0" borderId="0" xfId="0" applyNumberFormat="1" applyFont="1" applyAlignment="1">
      <alignment horizontal="right" vertical="top"/>
    </xf>
    <xf numFmtId="0" fontId="16" fillId="0" borderId="0" xfId="0" applyFont="1" applyAlignment="1">
      <alignment horizontal="left" indent="1"/>
    </xf>
    <xf numFmtId="3" fontId="16" fillId="0" borderId="0" xfId="0" applyNumberFormat="1" applyFont="1" applyAlignment="1">
      <alignment horizontal="right"/>
    </xf>
    <xf numFmtId="0" fontId="54" fillId="0" borderId="0" xfId="0" applyFont="1" applyAlignment="1">
      <alignment horizontal="left" vertical="top" indent="3"/>
    </xf>
    <xf numFmtId="3" fontId="54" fillId="0" borderId="0" xfId="0" applyNumberFormat="1" applyFont="1" applyAlignment="1">
      <alignment vertical="top"/>
    </xf>
    <xf numFmtId="3" fontId="54" fillId="0" borderId="0" xfId="0" applyNumberFormat="1" applyFont="1" applyAlignment="1">
      <alignment horizontal="right" vertical="top" wrapText="1"/>
    </xf>
    <xf numFmtId="0" fontId="54" fillId="0" borderId="0" xfId="0" applyFont="1" applyAlignment="1">
      <alignment horizontal="left" vertical="top" indent="4"/>
    </xf>
    <xf numFmtId="3" fontId="54" fillId="0" borderId="0" xfId="0" applyNumberFormat="1" applyFont="1"/>
    <xf numFmtId="0" fontId="45" fillId="0" borderId="0" xfId="0" applyFont="1" applyAlignment="1">
      <alignment horizontal="left" indent="1"/>
    </xf>
    <xf numFmtId="0" fontId="56" fillId="0" borderId="0" xfId="0" applyFont="1"/>
    <xf numFmtId="0" fontId="16" fillId="0" borderId="0" xfId="0" applyFont="1" applyAlignment="1" applyProtection="1">
      <alignment horizontal="left" vertical="top" wrapText="1" indent="4"/>
      <protection locked="0"/>
    </xf>
    <xf numFmtId="0" fontId="54" fillId="0" borderId="0" xfId="0" applyFont="1" applyAlignment="1">
      <alignment vertical="top" wrapText="1"/>
    </xf>
    <xf numFmtId="3" fontId="16" fillId="0" borderId="0" xfId="0" applyNumberFormat="1" applyFont="1" applyAlignment="1" applyProtection="1">
      <alignment horizontal="right" vertical="top" wrapText="1"/>
      <protection locked="0"/>
    </xf>
    <xf numFmtId="0" fontId="54" fillId="0" borderId="0" xfId="0" applyFont="1" applyAlignment="1">
      <alignment wrapText="1"/>
    </xf>
    <xf numFmtId="3" fontId="54" fillId="0" borderId="0" xfId="0" applyNumberFormat="1" applyFont="1" applyAlignment="1">
      <alignment horizontal="right" wrapText="1"/>
    </xf>
    <xf numFmtId="0" fontId="94" fillId="0" borderId="0" xfId="0" applyFont="1" applyAlignment="1">
      <alignment horizontal="left" vertical="top" wrapText="1" indent="4"/>
    </xf>
    <xf numFmtId="3" fontId="94" fillId="0" borderId="0" xfId="0" applyNumberFormat="1" applyFont="1" applyAlignment="1">
      <alignment horizontal="right" vertical="top" wrapText="1"/>
    </xf>
    <xf numFmtId="3" fontId="16" fillId="0" borderId="0" xfId="0" applyNumberFormat="1" applyFont="1" applyAlignment="1">
      <alignment horizontal="right" vertical="top"/>
    </xf>
    <xf numFmtId="0" fontId="54" fillId="0" borderId="0" xfId="0" applyFont="1" applyAlignment="1">
      <alignment vertical="top"/>
    </xf>
    <xf numFmtId="0" fontId="54" fillId="0" borderId="0" xfId="0" applyFont="1" applyAlignment="1" applyProtection="1">
      <alignment vertical="top"/>
      <protection locked="0"/>
    </xf>
    <xf numFmtId="3" fontId="54" fillId="0" borderId="0" xfId="0" applyNumberFormat="1" applyFont="1" applyAlignment="1" applyProtection="1">
      <alignment horizontal="right" vertical="top"/>
      <protection locked="0"/>
    </xf>
    <xf numFmtId="0" fontId="54" fillId="0" borderId="0" xfId="0" applyFont="1" applyAlignment="1" applyProtection="1">
      <alignment vertical="top" wrapText="1"/>
      <protection locked="0"/>
    </xf>
    <xf numFmtId="3" fontId="54" fillId="0" borderId="0" xfId="0" applyNumberFormat="1" applyFont="1" applyAlignment="1" applyProtection="1">
      <alignment horizontal="right" vertical="top" wrapText="1"/>
      <protection locked="0"/>
    </xf>
    <xf numFmtId="0" fontId="54" fillId="0" borderId="0" xfId="0" applyFont="1"/>
    <xf numFmtId="3" fontId="54" fillId="0" borderId="0" xfId="0" applyNumberFormat="1" applyFont="1" applyAlignment="1">
      <alignment horizontal="right"/>
    </xf>
    <xf numFmtId="0" fontId="16" fillId="0" borderId="0" xfId="0" applyFont="1" applyAlignment="1" applyProtection="1">
      <alignment horizontal="left" vertical="top" wrapText="1"/>
      <protection locked="0"/>
    </xf>
    <xf numFmtId="0" fontId="54" fillId="0" borderId="0" xfId="50" applyFont="1" applyAlignment="1">
      <alignment vertical="top"/>
    </xf>
    <xf numFmtId="3" fontId="54" fillId="0" borderId="0" xfId="50" applyNumberFormat="1" applyFont="1" applyAlignment="1">
      <alignment horizontal="right" vertical="top"/>
    </xf>
    <xf numFmtId="3" fontId="54" fillId="0" borderId="0" xfId="50" applyNumberFormat="1" applyFont="1" applyAlignment="1">
      <alignment vertical="top"/>
    </xf>
    <xf numFmtId="0" fontId="54" fillId="0" borderId="0" xfId="50" applyFont="1" applyAlignment="1">
      <alignment vertical="top" wrapText="1"/>
    </xf>
    <xf numFmtId="3" fontId="54" fillId="0" borderId="0" xfId="50" applyNumberFormat="1" applyFont="1" applyAlignment="1">
      <alignment horizontal="right" vertical="top" wrapText="1"/>
    </xf>
    <xf numFmtId="0" fontId="45" fillId="0" borderId="0" xfId="0" applyFont="1" applyAlignment="1">
      <alignment vertical="top"/>
    </xf>
    <xf numFmtId="3" fontId="16" fillId="0" borderId="0" xfId="0" applyNumberFormat="1" applyFont="1" applyAlignment="1" applyProtection="1">
      <alignment vertical="top"/>
      <protection locked="0"/>
    </xf>
    <xf numFmtId="0" fontId="54" fillId="0" borderId="0" xfId="151" applyFont="1" applyAlignment="1">
      <alignment horizontal="left" vertical="top"/>
    </xf>
    <xf numFmtId="3" fontId="54" fillId="0" borderId="0" xfId="151" applyNumberFormat="1" applyFont="1" applyAlignment="1">
      <alignment horizontal="right" vertical="top"/>
    </xf>
    <xf numFmtId="3" fontId="54" fillId="0" borderId="0" xfId="151" applyNumberFormat="1" applyFont="1" applyAlignment="1">
      <alignment vertical="top"/>
    </xf>
    <xf numFmtId="0" fontId="54" fillId="0" borderId="0" xfId="0" applyFont="1" applyAlignment="1">
      <alignment horizontal="left" vertical="top" wrapText="1"/>
    </xf>
    <xf numFmtId="0" fontId="35" fillId="0" borderId="0" xfId="0" applyFont="1" applyAlignment="1">
      <alignment horizontal="left" vertical="top" wrapText="1" indent="1"/>
    </xf>
    <xf numFmtId="0" fontId="35" fillId="0" borderId="0" xfId="0" applyFont="1" applyAlignment="1">
      <alignment horizontal="left" vertical="top" indent="1"/>
    </xf>
    <xf numFmtId="3" fontId="35" fillId="0" borderId="0" xfId="0" applyNumberFormat="1" applyFont="1" applyAlignment="1">
      <alignment horizontal="right" vertical="top"/>
    </xf>
    <xf numFmtId="0" fontId="54" fillId="0" borderId="0" xfId="0" applyFont="1" applyAlignment="1">
      <alignment horizontal="left" vertical="top"/>
    </xf>
    <xf numFmtId="9" fontId="37" fillId="0" borderId="0" xfId="150" applyFont="1" applyAlignment="1">
      <alignment horizontal="right" vertical="top"/>
    </xf>
    <xf numFmtId="9" fontId="16" fillId="0" borderId="0" xfId="150" applyFont="1" applyAlignment="1">
      <alignment horizontal="right"/>
    </xf>
    <xf numFmtId="9" fontId="54" fillId="0" borderId="0" xfId="150" applyFont="1" applyAlignment="1">
      <alignment horizontal="right" vertical="top" wrapText="1"/>
    </xf>
    <xf numFmtId="9" fontId="16" fillId="0" borderId="0" xfId="150" applyFont="1" applyAlignment="1" applyProtection="1">
      <alignment horizontal="right" vertical="top" wrapText="1"/>
      <protection locked="0"/>
    </xf>
    <xf numFmtId="9" fontId="54" fillId="0" borderId="0" xfId="150" applyFont="1" applyAlignment="1">
      <alignment horizontal="right" wrapText="1"/>
    </xf>
    <xf numFmtId="9" fontId="94" fillId="0" borderId="0" xfId="150" applyFont="1" applyAlignment="1">
      <alignment horizontal="right" vertical="top" wrapText="1"/>
    </xf>
    <xf numFmtId="9" fontId="16" fillId="0" borderId="0" xfId="150" applyFont="1" applyAlignment="1">
      <alignment horizontal="right" vertical="top"/>
    </xf>
    <xf numFmtId="9" fontId="54" fillId="0" borderId="0" xfId="150" applyFont="1" applyAlignment="1" applyProtection="1">
      <alignment horizontal="right" vertical="top"/>
      <protection locked="0"/>
    </xf>
    <xf numFmtId="9" fontId="54" fillId="0" borderId="0" xfId="150" applyFont="1" applyAlignment="1" applyProtection="1">
      <alignment horizontal="right" vertical="top" wrapText="1"/>
      <protection locked="0"/>
    </xf>
    <xf numFmtId="9" fontId="54" fillId="0" borderId="0" xfId="150" applyFont="1" applyAlignment="1">
      <alignment horizontal="right"/>
    </xf>
    <xf numFmtId="9" fontId="35" fillId="0" borderId="0" xfId="150" applyFont="1" applyAlignment="1">
      <alignment horizontal="right" vertical="top"/>
    </xf>
    <xf numFmtId="3" fontId="84" fillId="0" borderId="0" xfId="0" applyNumberFormat="1" applyFont="1" applyAlignment="1">
      <alignment vertical="top"/>
    </xf>
    <xf numFmtId="3" fontId="78" fillId="0" borderId="0" xfId="0" applyNumberFormat="1" applyFont="1" applyAlignment="1">
      <alignment vertical="top"/>
    </xf>
    <xf numFmtId="3" fontId="95" fillId="0" borderId="0" xfId="43" applyNumberFormat="1" applyFont="1" applyAlignment="1">
      <alignment vertical="top"/>
    </xf>
    <xf numFmtId="3" fontId="96" fillId="0" borderId="0" xfId="43" applyNumberFormat="1" applyFont="1" applyAlignment="1">
      <alignment vertical="top"/>
    </xf>
    <xf numFmtId="3" fontId="87" fillId="0" borderId="0" xfId="43" applyNumberFormat="1" applyFont="1" applyAlignment="1">
      <alignment vertical="top"/>
    </xf>
    <xf numFmtId="0" fontId="96" fillId="0" borderId="0" xfId="0" applyFont="1"/>
    <xf numFmtId="3" fontId="96" fillId="0" borderId="0" xfId="43" applyNumberFormat="1" applyFont="1" applyAlignment="1">
      <alignment vertical="top" wrapText="1"/>
    </xf>
    <xf numFmtId="3" fontId="97" fillId="0" borderId="0" xfId="43" applyNumberFormat="1" applyFont="1" applyAlignment="1">
      <alignment vertical="top"/>
    </xf>
    <xf numFmtId="3" fontId="98" fillId="0" borderId="0" xfId="43" applyNumberFormat="1" applyFont="1" applyAlignment="1">
      <alignment vertical="top"/>
    </xf>
    <xf numFmtId="166" fontId="41" fillId="0" borderId="0" xfId="36" applyNumberFormat="1" applyFont="1" applyAlignment="1">
      <alignment horizontal="left" wrapText="1"/>
    </xf>
    <xf numFmtId="0" fontId="44" fillId="0" borderId="0" xfId="36" applyFont="1" applyAlignment="1">
      <alignment horizontal="left" vertical="top"/>
    </xf>
    <xf numFmtId="3" fontId="44" fillId="0" borderId="0" xfId="36" applyNumberFormat="1" applyFont="1" applyAlignment="1">
      <alignment vertical="top"/>
    </xf>
    <xf numFmtId="0" fontId="37" fillId="0" borderId="0" xfId="36" applyFont="1" applyAlignment="1">
      <alignment horizontal="left" vertical="top"/>
    </xf>
    <xf numFmtId="0" fontId="38" fillId="0" borderId="0" xfId="36" applyFont="1" applyAlignment="1">
      <alignment horizontal="left" vertical="top" indent="1"/>
    </xf>
    <xf numFmtId="0" fontId="38" fillId="0" borderId="0" xfId="36" applyFont="1" applyAlignment="1">
      <alignment horizontal="left" vertical="top" indent="2"/>
    </xf>
    <xf numFmtId="0" fontId="46" fillId="28" borderId="0" xfId="36" applyFont="1" applyFill="1" applyAlignment="1">
      <alignment horizontal="right" vertical="top"/>
    </xf>
    <xf numFmtId="9" fontId="46" fillId="28" borderId="0" xfId="150" applyFont="1" applyFill="1" applyAlignment="1">
      <alignment vertical="top"/>
    </xf>
    <xf numFmtId="0" fontId="46" fillId="0" borderId="0" xfId="0" applyFont="1"/>
    <xf numFmtId="0" fontId="45" fillId="0" borderId="0" xfId="36" applyFont="1" applyAlignment="1">
      <alignment horizontal="left" vertical="top"/>
    </xf>
    <xf numFmtId="3" fontId="16" fillId="0" borderId="0" xfId="36" applyNumberFormat="1" applyFont="1" applyAlignment="1">
      <alignment vertical="top"/>
    </xf>
    <xf numFmtId="3" fontId="52" fillId="0" borderId="0" xfId="0" applyNumberFormat="1" applyFont="1"/>
    <xf numFmtId="9" fontId="52" fillId="0" borderId="0" xfId="150" applyFont="1" applyAlignment="1">
      <alignment vertical="top"/>
    </xf>
    <xf numFmtId="0" fontId="38" fillId="0" borderId="0" xfId="36" applyFont="1" applyAlignment="1">
      <alignment horizontal="left" vertical="top"/>
    </xf>
    <xf numFmtId="3" fontId="52" fillId="0" borderId="0" xfId="0" applyNumberFormat="1" applyFont="1" applyAlignment="1">
      <alignment vertical="top"/>
    </xf>
    <xf numFmtId="0" fontId="45" fillId="0" borderId="0" xfId="37" applyFont="1" applyAlignment="1">
      <alignment horizontal="left" vertical="top"/>
    </xf>
    <xf numFmtId="49" fontId="44" fillId="0" borderId="0" xfId="36" applyNumberFormat="1" applyFont="1" applyAlignment="1">
      <alignment horizontal="left" vertical="top"/>
    </xf>
    <xf numFmtId="9" fontId="44" fillId="0" borderId="0" xfId="150" applyFont="1" applyAlignment="1">
      <alignment vertical="top"/>
    </xf>
    <xf numFmtId="0" fontId="46" fillId="0" borderId="0" xfId="36" applyFont="1" applyAlignment="1">
      <alignment horizontal="right" vertical="top"/>
    </xf>
    <xf numFmtId="3" fontId="46" fillId="0" borderId="0" xfId="36" applyNumberFormat="1" applyFont="1" applyAlignment="1">
      <alignment vertical="top"/>
    </xf>
    <xf numFmtId="9" fontId="46" fillId="0" borderId="0" xfId="150" applyFont="1" applyAlignment="1">
      <alignment vertical="top"/>
    </xf>
    <xf numFmtId="3" fontId="46" fillId="0" borderId="0" xfId="0" applyNumberFormat="1" applyFont="1" applyAlignment="1">
      <alignment vertical="top"/>
    </xf>
    <xf numFmtId="0" fontId="45" fillId="0" borderId="0" xfId="0" applyFont="1" applyAlignment="1">
      <alignment horizontal="left" vertical="top" wrapText="1"/>
    </xf>
    <xf numFmtId="3" fontId="16" fillId="0" borderId="0" xfId="0" applyNumberFormat="1" applyFont="1" applyAlignment="1">
      <alignment vertical="top" wrapText="1"/>
    </xf>
    <xf numFmtId="9" fontId="16" fillId="0" borderId="0" xfId="150" applyFont="1" applyAlignment="1">
      <alignment vertical="top" wrapText="1"/>
    </xf>
    <xf numFmtId="0" fontId="52" fillId="0" borderId="0" xfId="36" applyFont="1" applyAlignment="1">
      <alignment horizontal="left" vertical="top" wrapText="1"/>
    </xf>
    <xf numFmtId="9" fontId="52" fillId="0" borderId="0" xfId="150" applyFont="1" applyAlignment="1">
      <alignment vertical="top" wrapText="1"/>
    </xf>
    <xf numFmtId="0" fontId="46" fillId="0" borderId="0" xfId="36" applyFont="1" applyAlignment="1">
      <alignment horizontal="left" vertical="top" wrapText="1" indent="2"/>
    </xf>
    <xf numFmtId="3" fontId="46" fillId="0" borderId="0" xfId="36" applyNumberFormat="1" applyFont="1" applyAlignment="1">
      <alignment vertical="top" wrapText="1"/>
    </xf>
    <xf numFmtId="9" fontId="46" fillId="0" borderId="0" xfId="150" applyFont="1" applyAlignment="1">
      <alignment vertical="top" wrapText="1"/>
    </xf>
    <xf numFmtId="0" fontId="45" fillId="0" borderId="0" xfId="37" applyFont="1" applyAlignment="1">
      <alignment horizontal="left" vertical="top" wrapText="1"/>
    </xf>
    <xf numFmtId="3" fontId="16" fillId="0" borderId="0" xfId="37" applyNumberFormat="1" applyFont="1" applyAlignment="1">
      <alignment vertical="top" wrapText="1"/>
    </xf>
    <xf numFmtId="0" fontId="45" fillId="0" borderId="0" xfId="36" applyFont="1" applyAlignment="1">
      <alignment horizontal="left" vertical="top" wrapText="1"/>
    </xf>
    <xf numFmtId="3" fontId="16" fillId="0" borderId="0" xfId="36" applyNumberFormat="1" applyFont="1" applyAlignment="1">
      <alignment vertical="top" wrapText="1"/>
    </xf>
    <xf numFmtId="0" fontId="45" fillId="0" borderId="0" xfId="0" applyFont="1" applyAlignment="1">
      <alignment vertical="top" wrapText="1"/>
    </xf>
    <xf numFmtId="0" fontId="38" fillId="0" borderId="0" xfId="0" applyFont="1"/>
    <xf numFmtId="0" fontId="52" fillId="0" borderId="0" xfId="36" applyFont="1" applyAlignment="1">
      <alignment horizontal="left" vertical="top" wrapText="1" indent="1"/>
    </xf>
    <xf numFmtId="0" fontId="16" fillId="0" borderId="0" xfId="36" applyFont="1" applyAlignment="1">
      <alignment vertical="top"/>
    </xf>
    <xf numFmtId="0" fontId="46" fillId="0" borderId="0" xfId="36" applyFont="1" applyAlignment="1">
      <alignment horizontal="left" vertical="top" indent="1"/>
    </xf>
    <xf numFmtId="0" fontId="35" fillId="0" borderId="0" xfId="36" applyFont="1" applyAlignment="1">
      <alignment horizontal="left" vertical="top" indent="2"/>
    </xf>
    <xf numFmtId="3" fontId="35" fillId="0" borderId="0" xfId="36" applyNumberFormat="1" applyFont="1" applyAlignment="1">
      <alignment vertical="top"/>
    </xf>
    <xf numFmtId="9" fontId="35" fillId="0" borderId="0" xfId="150" applyFont="1" applyAlignment="1">
      <alignment vertical="top"/>
    </xf>
    <xf numFmtId="0" fontId="16" fillId="0" borderId="0" xfId="36" applyFont="1" applyAlignment="1">
      <alignment horizontal="left" vertical="top" indent="1"/>
    </xf>
    <xf numFmtId="0" fontId="38" fillId="0" borderId="0" xfId="0" applyFont="1" applyAlignment="1">
      <alignment horizontal="left" vertical="top" indent="2"/>
    </xf>
    <xf numFmtId="0" fontId="35" fillId="0" borderId="0" xfId="36" applyFont="1" applyAlignment="1">
      <alignment horizontal="left" vertical="top" indent="1"/>
    </xf>
    <xf numFmtId="0" fontId="35" fillId="0" borderId="0" xfId="36" applyFont="1" applyAlignment="1">
      <alignment horizontal="left" vertical="top" wrapText="1"/>
    </xf>
    <xf numFmtId="3" fontId="35" fillId="0" borderId="0" xfId="36" applyNumberFormat="1" applyFont="1" applyAlignment="1">
      <alignment vertical="top" wrapText="1"/>
    </xf>
    <xf numFmtId="9" fontId="35" fillId="0" borderId="0" xfId="150" applyFont="1" applyAlignment="1">
      <alignment vertical="top" wrapText="1"/>
    </xf>
    <xf numFmtId="0" fontId="54" fillId="0" borderId="0" xfId="43" applyFont="1" applyAlignment="1">
      <alignment wrapText="1"/>
    </xf>
    <xf numFmtId="0" fontId="52" fillId="0" borderId="0" xfId="36" applyFont="1" applyAlignment="1">
      <alignment horizontal="left" vertical="top" wrapText="1" indent="2"/>
    </xf>
    <xf numFmtId="9" fontId="16" fillId="0" borderId="0" xfId="150" applyFont="1"/>
    <xf numFmtId="3" fontId="16" fillId="0" borderId="0" xfId="0" applyNumberFormat="1" applyFont="1" applyAlignment="1">
      <alignment horizontal="left" vertical="top"/>
    </xf>
    <xf numFmtId="0" fontId="41" fillId="0" borderId="0" xfId="36" applyFont="1" applyAlignment="1">
      <alignment horizontal="left" vertical="top"/>
    </xf>
    <xf numFmtId="3" fontId="41" fillId="0" borderId="0" xfId="36" applyNumberFormat="1" applyFont="1" applyAlignment="1">
      <alignment vertical="top"/>
    </xf>
    <xf numFmtId="3" fontId="41" fillId="0" borderId="0" xfId="36" applyNumberFormat="1" applyFont="1" applyAlignment="1">
      <alignment horizontal="right" vertical="top"/>
    </xf>
    <xf numFmtId="9" fontId="41" fillId="0" borderId="0" xfId="150" applyFont="1" applyAlignment="1">
      <alignment vertical="top"/>
    </xf>
    <xf numFmtId="0" fontId="43" fillId="0" borderId="0" xfId="36" applyFont="1" applyAlignment="1">
      <alignment horizontal="left" vertical="top" indent="1"/>
    </xf>
    <xf numFmtId="0" fontId="37" fillId="0" borderId="0" xfId="0" applyFont="1" applyAlignment="1">
      <alignment horizontal="left" vertical="top" indent="2"/>
    </xf>
    <xf numFmtId="0" fontId="52" fillId="0" borderId="0" xfId="31" applyNumberFormat="1" applyFont="1" applyFill="1" applyBorder="1" applyAlignment="1" applyProtection="1">
      <alignment horizontal="left" vertical="top" wrapText="1" indent="3"/>
    </xf>
    <xf numFmtId="0" fontId="46" fillId="0" borderId="0" xfId="31" applyNumberFormat="1" applyFont="1" applyFill="1" applyBorder="1" applyAlignment="1" applyProtection="1">
      <alignment horizontal="right" vertical="top" wrapText="1" indent="2"/>
    </xf>
    <xf numFmtId="0" fontId="38" fillId="0" borderId="0" xfId="31" applyNumberFormat="1" applyFont="1" applyFill="1" applyBorder="1" applyAlignment="1" applyProtection="1">
      <alignment horizontal="left" vertical="top" wrapText="1" indent="3"/>
    </xf>
    <xf numFmtId="3" fontId="38" fillId="0" borderId="0" xfId="0" applyNumberFormat="1" applyFont="1" applyAlignment="1">
      <alignment horizontal="right" vertical="top"/>
    </xf>
    <xf numFmtId="49" fontId="46" fillId="0" borderId="0" xfId="0" quotePrefix="1" applyNumberFormat="1" applyFont="1" applyAlignment="1">
      <alignment horizontal="left" vertical="top" wrapText="1" indent="1"/>
    </xf>
    <xf numFmtId="3" fontId="46" fillId="0" borderId="0" xfId="0" quotePrefix="1" applyNumberFormat="1" applyFont="1" applyAlignment="1">
      <alignment vertical="top" wrapText="1"/>
    </xf>
    <xf numFmtId="9" fontId="46" fillId="0" borderId="0" xfId="150" quotePrefix="1" applyFont="1" applyAlignment="1">
      <alignment vertical="top" wrapText="1"/>
    </xf>
    <xf numFmtId="0" fontId="52" fillId="0" borderId="0" xfId="36" applyFont="1" applyAlignment="1">
      <alignment horizontal="left" vertical="top" indent="3"/>
    </xf>
    <xf numFmtId="3" fontId="37" fillId="0" borderId="0" xfId="36" applyNumberFormat="1" applyFont="1" applyAlignment="1">
      <alignment horizontal="right" vertical="top"/>
    </xf>
    <xf numFmtId="3" fontId="52" fillId="0" borderId="0" xfId="36" applyNumberFormat="1" applyFont="1" applyAlignment="1">
      <alignment horizontal="right" vertical="top"/>
    </xf>
    <xf numFmtId="49" fontId="46" fillId="0" borderId="0" xfId="0" quotePrefix="1" applyNumberFormat="1" applyFont="1" applyAlignment="1">
      <alignment horizontal="left" indent="1"/>
    </xf>
    <xf numFmtId="0" fontId="35" fillId="0" borderId="0" xfId="37" applyFont="1" applyAlignment="1">
      <alignment horizontal="left" vertical="top" indent="1"/>
    </xf>
    <xf numFmtId="3" fontId="35" fillId="0" borderId="0" xfId="37" applyNumberFormat="1" applyFont="1" applyAlignment="1">
      <alignment vertical="top"/>
    </xf>
    <xf numFmtId="3" fontId="35" fillId="0" borderId="0" xfId="0" applyNumberFormat="1" applyFont="1"/>
    <xf numFmtId="0" fontId="45" fillId="0" borderId="0" xfId="37" applyFont="1" applyAlignment="1">
      <alignment vertical="top" wrapText="1"/>
    </xf>
    <xf numFmtId="0" fontId="35" fillId="0" borderId="0" xfId="37" applyFont="1" applyAlignment="1">
      <alignment horizontal="left" vertical="top" indent="2"/>
    </xf>
    <xf numFmtId="0" fontId="46" fillId="0" borderId="0" xfId="37" applyFont="1" applyAlignment="1">
      <alignment horizontal="left" vertical="top" indent="6"/>
    </xf>
    <xf numFmtId="3" fontId="46" fillId="0" borderId="0" xfId="37" applyNumberFormat="1" applyFont="1" applyAlignment="1">
      <alignment vertical="top"/>
    </xf>
    <xf numFmtId="0" fontId="46" fillId="0" borderId="0" xfId="37" quotePrefix="1" applyFont="1" applyAlignment="1">
      <alignment horizontal="left" vertical="top" wrapText="1" indent="1"/>
    </xf>
    <xf numFmtId="3" fontId="46" fillId="0" borderId="0" xfId="37" quotePrefix="1" applyNumberFormat="1" applyFont="1" applyAlignment="1">
      <alignment vertical="top" wrapText="1"/>
    </xf>
    <xf numFmtId="0" fontId="16" fillId="0" borderId="0" xfId="36" applyFont="1" applyAlignment="1">
      <alignment horizontal="left" vertical="top" indent="2"/>
    </xf>
    <xf numFmtId="0" fontId="16" fillId="0" borderId="0" xfId="36" applyFont="1" applyAlignment="1">
      <alignment horizontal="left" vertical="top" wrapText="1" indent="2"/>
    </xf>
    <xf numFmtId="0" fontId="46" fillId="0" borderId="0" xfId="0" applyFont="1" applyAlignment="1">
      <alignment horizontal="right" vertical="top"/>
    </xf>
    <xf numFmtId="0" fontId="43" fillId="0" borderId="0" xfId="0" applyFont="1" applyAlignment="1">
      <alignment horizontal="left" vertical="top" indent="1"/>
    </xf>
    <xf numFmtId="49" fontId="46" fillId="0" borderId="0" xfId="0" quotePrefix="1" applyNumberFormat="1" applyFont="1" applyAlignment="1">
      <alignment horizontal="left" vertical="top" indent="2"/>
    </xf>
    <xf numFmtId="3" fontId="46" fillId="0" borderId="0" xfId="0" quotePrefix="1" applyNumberFormat="1" applyFont="1" applyAlignment="1">
      <alignment vertical="top"/>
    </xf>
    <xf numFmtId="9" fontId="46" fillId="0" borderId="0" xfId="150" quotePrefix="1" applyFont="1" applyAlignment="1">
      <alignment vertical="top"/>
    </xf>
    <xf numFmtId="0" fontId="38" fillId="0" borderId="0" xfId="0" applyFont="1" applyAlignment="1">
      <alignment horizontal="left" indent="1"/>
    </xf>
    <xf numFmtId="0" fontId="41" fillId="0" borderId="0" xfId="0" applyFont="1" applyAlignment="1">
      <alignment horizontal="left" vertical="top"/>
    </xf>
    <xf numFmtId="0" fontId="54" fillId="0" borderId="0" xfId="36" applyFont="1" applyAlignment="1">
      <alignment horizontal="left" vertical="top" indent="2"/>
    </xf>
    <xf numFmtId="3" fontId="54" fillId="0" borderId="0" xfId="36" applyNumberFormat="1" applyFont="1" applyAlignment="1">
      <alignment vertical="top"/>
    </xf>
    <xf numFmtId="9" fontId="54" fillId="0" borderId="0" xfId="150" applyFont="1" applyAlignment="1">
      <alignment vertical="top"/>
    </xf>
    <xf numFmtId="0" fontId="37" fillId="0" borderId="0" xfId="149" applyFont="1" applyAlignment="1">
      <alignment horizontal="left" indent="3"/>
    </xf>
    <xf numFmtId="0" fontId="16" fillId="0" borderId="0" xfId="45" applyFont="1" applyFill="1" applyBorder="1" applyAlignment="1" applyProtection="1">
      <alignment horizontal="left" vertical="top" wrapText="1" indent="3"/>
    </xf>
    <xf numFmtId="0" fontId="52" fillId="0" borderId="0" xfId="36" applyFont="1" applyAlignment="1">
      <alignment horizontal="left" vertical="top" indent="4"/>
    </xf>
    <xf numFmtId="0" fontId="52" fillId="0" borderId="0" xfId="36" applyFont="1" applyAlignment="1">
      <alignment horizontal="left" vertical="top" indent="6"/>
    </xf>
    <xf numFmtId="49" fontId="46" fillId="0" borderId="0" xfId="37" applyNumberFormat="1" applyFont="1" applyAlignment="1">
      <alignment horizontal="left" vertical="top" wrapText="1" indent="1"/>
    </xf>
    <xf numFmtId="3" fontId="46" fillId="0" borderId="0" xfId="37" applyNumberFormat="1" applyFont="1" applyAlignment="1">
      <alignment vertical="top" wrapText="1"/>
    </xf>
    <xf numFmtId="0" fontId="46" fillId="0" borderId="0" xfId="0" quotePrefix="1" applyFont="1" applyAlignment="1">
      <alignment horizontal="left" wrapText="1" indent="1"/>
    </xf>
    <xf numFmtId="0" fontId="16" fillId="0" borderId="0" xfId="37" applyFont="1" applyAlignment="1">
      <alignment horizontal="left" vertical="top" indent="3"/>
    </xf>
    <xf numFmtId="0" fontId="35" fillId="0" borderId="0" xfId="36" applyFont="1" applyAlignment="1">
      <alignment horizontal="left" vertical="top" indent="3"/>
    </xf>
    <xf numFmtId="0" fontId="35" fillId="0" borderId="0" xfId="36" applyFont="1" applyAlignment="1">
      <alignment horizontal="left" vertical="top" wrapText="1" indent="4"/>
    </xf>
    <xf numFmtId="0" fontId="45" fillId="0" borderId="0" xfId="43" applyFont="1" applyAlignment="1">
      <alignment vertical="top" wrapText="1"/>
    </xf>
    <xf numFmtId="3" fontId="16" fillId="0" borderId="0" xfId="43" applyNumberFormat="1" applyAlignment="1">
      <alignment vertical="top" wrapText="1"/>
    </xf>
    <xf numFmtId="0" fontId="37" fillId="0" borderId="0" xfId="43" applyFont="1" applyAlignment="1">
      <alignment wrapText="1"/>
    </xf>
    <xf numFmtId="0" fontId="38" fillId="0" borderId="0" xfId="36" applyFont="1" applyAlignment="1">
      <alignment horizontal="left" vertical="top" wrapText="1" indent="2"/>
    </xf>
    <xf numFmtId="3" fontId="38" fillId="0" borderId="0" xfId="36" applyNumberFormat="1" applyFont="1" applyAlignment="1">
      <alignment vertical="top" wrapText="1"/>
    </xf>
    <xf numFmtId="0" fontId="43" fillId="0" borderId="0" xfId="151" applyFont="1" applyAlignment="1">
      <alignment horizontal="left" vertical="top" indent="1"/>
    </xf>
    <xf numFmtId="3" fontId="37" fillId="0" borderId="0" xfId="151" applyNumberFormat="1" applyFont="1" applyAlignment="1">
      <alignment vertical="top"/>
    </xf>
    <xf numFmtId="0" fontId="41" fillId="0" borderId="0" xfId="151" applyFont="1" applyAlignment="1">
      <alignment horizontal="left" vertical="top"/>
    </xf>
    <xf numFmtId="3" fontId="41" fillId="0" borderId="0" xfId="151" applyNumberFormat="1" applyFont="1" applyAlignment="1">
      <alignment vertical="top"/>
    </xf>
    <xf numFmtId="49" fontId="46" fillId="0" borderId="0" xfId="37" applyNumberFormat="1" applyFont="1" applyAlignment="1">
      <alignment horizontal="left" wrapText="1" indent="1"/>
    </xf>
    <xf numFmtId="0" fontId="43" fillId="0" borderId="0" xfId="151" applyFont="1" applyAlignment="1">
      <alignment horizontal="left" vertical="top" wrapText="1" indent="1"/>
    </xf>
    <xf numFmtId="3" fontId="37" fillId="0" borderId="0" xfId="151" applyNumberFormat="1" applyFont="1" applyAlignment="1">
      <alignment vertical="top" wrapText="1"/>
    </xf>
    <xf numFmtId="9" fontId="37" fillId="0" borderId="0" xfId="150" applyFont="1" applyAlignment="1">
      <alignment vertical="top" wrapText="1"/>
    </xf>
    <xf numFmtId="0" fontId="52" fillId="0" borderId="0" xfId="35" applyFont="1" applyAlignment="1">
      <alignment horizontal="left" indent="4"/>
    </xf>
    <xf numFmtId="0" fontId="43" fillId="0" borderId="0" xfId="37" applyFont="1" applyAlignment="1">
      <alignment horizontal="left" vertical="top"/>
    </xf>
    <xf numFmtId="3" fontId="37" fillId="0" borderId="0" xfId="37" applyNumberFormat="1" applyFont="1" applyAlignment="1">
      <alignment vertical="top"/>
    </xf>
    <xf numFmtId="0" fontId="46" fillId="0" borderId="0" xfId="36" applyFont="1" applyAlignment="1">
      <alignment horizontal="left" vertical="top" indent="3"/>
    </xf>
    <xf numFmtId="0" fontId="46" fillId="0" borderId="0" xfId="36" applyFont="1" applyAlignment="1">
      <alignment horizontal="left" vertical="top" indent="4"/>
    </xf>
    <xf numFmtId="0" fontId="46" fillId="0" borderId="0" xfId="36" applyFont="1" applyAlignment="1">
      <alignment horizontal="left" vertical="top" wrapText="1" indent="4"/>
    </xf>
    <xf numFmtId="0" fontId="38" fillId="0" borderId="0" xfId="36" applyFont="1" applyAlignment="1">
      <alignment horizontal="left"/>
    </xf>
    <xf numFmtId="0" fontId="46" fillId="0" borderId="0" xfId="36" applyFont="1" applyAlignment="1">
      <alignment horizontal="left" vertical="top" indent="5"/>
    </xf>
    <xf numFmtId="0" fontId="46" fillId="0" borderId="0" xfId="36" applyFont="1" applyAlignment="1">
      <alignment horizontal="left" vertical="top" indent="7"/>
    </xf>
    <xf numFmtId="0" fontId="46" fillId="0" borderId="0" xfId="0" applyFont="1" applyAlignment="1">
      <alignment horizontal="left" vertical="top" indent="1"/>
    </xf>
    <xf numFmtId="3" fontId="35" fillId="0" borderId="0" xfId="0" applyNumberFormat="1" applyFont="1" applyAlignment="1">
      <alignment vertical="top"/>
    </xf>
    <xf numFmtId="0" fontId="35" fillId="0" borderId="0" xfId="0" applyFont="1" applyAlignment="1">
      <alignment horizontal="left" vertical="top" wrapText="1" indent="2"/>
    </xf>
    <xf numFmtId="3" fontId="35" fillId="0" borderId="0" xfId="0" applyNumberFormat="1" applyFont="1" applyAlignment="1">
      <alignment vertical="top" wrapText="1"/>
    </xf>
    <xf numFmtId="0" fontId="46" fillId="0" borderId="0" xfId="37" applyFont="1" applyAlignment="1">
      <alignment horizontal="left" vertical="top" indent="3"/>
    </xf>
    <xf numFmtId="0" fontId="46" fillId="0" borderId="0" xfId="0" applyFont="1" applyAlignment="1">
      <alignment horizontal="left" vertical="top" wrapText="1" indent="3"/>
    </xf>
    <xf numFmtId="3" fontId="46" fillId="0" borderId="0" xfId="0" applyNumberFormat="1" applyFont="1" applyAlignment="1">
      <alignment vertical="top" wrapText="1"/>
    </xf>
    <xf numFmtId="0" fontId="35" fillId="0" borderId="0" xfId="36" applyFont="1" applyAlignment="1">
      <alignment horizontal="left" vertical="top" indent="4"/>
    </xf>
    <xf numFmtId="0" fontId="35" fillId="0" borderId="0" xfId="36" applyFont="1" applyAlignment="1">
      <alignment horizontal="left" vertical="top" indent="5"/>
    </xf>
    <xf numFmtId="0" fontId="46" fillId="0" borderId="0" xfId="36" applyFont="1" applyAlignment="1">
      <alignment horizontal="left" vertical="top" indent="6"/>
    </xf>
    <xf numFmtId="3" fontId="46" fillId="0" borderId="0" xfId="0" applyNumberFormat="1" applyFont="1" applyAlignment="1">
      <alignment horizontal="right" vertical="top"/>
    </xf>
    <xf numFmtId="0" fontId="35" fillId="0" borderId="0" xfId="36" applyFont="1" applyAlignment="1">
      <alignment horizontal="left" vertical="top"/>
    </xf>
    <xf numFmtId="3" fontId="52" fillId="0" borderId="0" xfId="0" applyNumberFormat="1" applyFont="1" applyAlignment="1">
      <alignment horizontal="right" vertical="top"/>
    </xf>
    <xf numFmtId="0" fontId="46" fillId="0" borderId="0" xfId="0" quotePrefix="1" applyFont="1" applyAlignment="1">
      <alignment horizontal="left" vertical="top" wrapText="1" indent="1"/>
    </xf>
    <xf numFmtId="0" fontId="43" fillId="0" borderId="0" xfId="0" applyFont="1" applyAlignment="1">
      <alignment horizontal="left" vertical="top" wrapText="1" indent="1"/>
    </xf>
    <xf numFmtId="3" fontId="37" fillId="0" borderId="0" xfId="0" applyNumberFormat="1" applyFont="1" applyAlignment="1">
      <alignment vertical="top" wrapText="1"/>
    </xf>
    <xf numFmtId="0" fontId="16" fillId="0" borderId="0" xfId="0" applyFont="1" applyAlignment="1">
      <alignment horizontal="left" vertical="top" wrapText="1"/>
    </xf>
    <xf numFmtId="49" fontId="35" fillId="0" borderId="0" xfId="0" applyNumberFormat="1" applyFont="1" applyAlignment="1">
      <alignment horizontal="left" vertical="top" indent="3"/>
    </xf>
    <xf numFmtId="49" fontId="35" fillId="0" borderId="0" xfId="0" applyNumberFormat="1" applyFont="1" applyAlignment="1">
      <alignment horizontal="left" vertical="top" indent="4"/>
    </xf>
    <xf numFmtId="0" fontId="46" fillId="0" borderId="0" xfId="36" quotePrefix="1" applyFont="1" applyAlignment="1">
      <alignment horizontal="left" indent="1"/>
    </xf>
    <xf numFmtId="0" fontId="46" fillId="0" borderId="0" xfId="36" quotePrefix="1" applyFont="1" applyAlignment="1">
      <alignment horizontal="left" vertical="top" wrapText="1" indent="1"/>
    </xf>
    <xf numFmtId="3" fontId="46" fillId="0" borderId="0" xfId="36" quotePrefix="1" applyNumberFormat="1" applyFont="1" applyAlignment="1">
      <alignment vertical="top" wrapText="1"/>
    </xf>
    <xf numFmtId="0" fontId="37" fillId="0" borderId="0" xfId="36" applyFont="1" applyAlignment="1">
      <alignment vertical="top"/>
    </xf>
    <xf numFmtId="0" fontId="42" fillId="0" borderId="0" xfId="0" applyFont="1" applyAlignment="1">
      <alignment horizontal="left" vertical="top"/>
    </xf>
    <xf numFmtId="3" fontId="42" fillId="0" borderId="0" xfId="0" applyNumberFormat="1" applyFont="1" applyAlignment="1">
      <alignment vertical="top"/>
    </xf>
    <xf numFmtId="9" fontId="42" fillId="0" borderId="0" xfId="150" applyFont="1" applyAlignment="1">
      <alignment vertical="top"/>
    </xf>
    <xf numFmtId="0" fontId="35" fillId="0" borderId="0" xfId="0" applyFont="1" applyAlignment="1">
      <alignment horizontal="left" vertical="top" indent="2"/>
    </xf>
    <xf numFmtId="0" fontId="38" fillId="0" borderId="0" xfId="0" applyFont="1" applyAlignment="1">
      <alignment horizontal="left" vertical="top"/>
    </xf>
    <xf numFmtId="0" fontId="46" fillId="0" borderId="0" xfId="36" applyFont="1" applyAlignment="1">
      <alignment horizontal="left" vertical="top" wrapText="1" indent="1"/>
    </xf>
    <xf numFmtId="0" fontId="35" fillId="0" borderId="0" xfId="0" applyFont="1" applyAlignment="1">
      <alignment horizontal="left" indent="2"/>
    </xf>
    <xf numFmtId="0" fontId="52" fillId="0" borderId="0" xfId="36" applyFont="1" applyAlignment="1">
      <alignment horizontal="left" indent="1"/>
    </xf>
    <xf numFmtId="9" fontId="52" fillId="0" borderId="0" xfId="150" applyFont="1"/>
    <xf numFmtId="0" fontId="45" fillId="0" borderId="0" xfId="0" applyFont="1"/>
    <xf numFmtId="0" fontId="42" fillId="0" borderId="0" xfId="36" applyFont="1" applyAlignment="1">
      <alignment horizontal="left" vertical="top"/>
    </xf>
    <xf numFmtId="3" fontId="42" fillId="0" borderId="0" xfId="36" applyNumberFormat="1" applyFont="1" applyAlignment="1">
      <alignment vertical="top"/>
    </xf>
    <xf numFmtId="0" fontId="44" fillId="0" borderId="0" xfId="36" applyFont="1" applyAlignment="1">
      <alignment horizontal="left" vertical="top" wrapText="1"/>
    </xf>
    <xf numFmtId="3" fontId="44" fillId="0" borderId="0" xfId="36" applyNumberFormat="1" applyFont="1" applyAlignment="1">
      <alignment vertical="top" wrapText="1"/>
    </xf>
    <xf numFmtId="9" fontId="44" fillId="0" borderId="0" xfId="150" applyFont="1" applyAlignment="1">
      <alignment vertical="top" wrapText="1"/>
    </xf>
    <xf numFmtId="0" fontId="37" fillId="0" borderId="0" xfId="36" applyFont="1" applyAlignment="1">
      <alignment horizontal="left" vertical="top" wrapText="1"/>
    </xf>
    <xf numFmtId="3" fontId="37" fillId="0" borderId="0" xfId="36" applyNumberFormat="1" applyFont="1" applyAlignment="1">
      <alignment vertical="top" wrapText="1"/>
    </xf>
    <xf numFmtId="0" fontId="38" fillId="0" borderId="0" xfId="36" applyFont="1" applyAlignment="1">
      <alignment horizontal="left" vertical="top" wrapText="1" indent="1"/>
    </xf>
    <xf numFmtId="0" fontId="46" fillId="0" borderId="0" xfId="36" applyFont="1" applyAlignment="1">
      <alignment horizontal="right" vertical="top" wrapText="1" indent="3"/>
    </xf>
    <xf numFmtId="0" fontId="41" fillId="0" borderId="0" xfId="0" applyFont="1" applyAlignment="1">
      <alignment horizontal="left" vertical="top" wrapText="1"/>
    </xf>
    <xf numFmtId="3" fontId="41" fillId="0" borderId="0" xfId="0" applyNumberFormat="1" applyFont="1" applyAlignment="1">
      <alignment vertical="top" wrapText="1"/>
    </xf>
    <xf numFmtId="9" fontId="41" fillId="0" borderId="0" xfId="150" applyFont="1" applyAlignment="1">
      <alignment vertical="top" wrapText="1"/>
    </xf>
    <xf numFmtId="0" fontId="37" fillId="0" borderId="0" xfId="0" applyFont="1" applyAlignment="1">
      <alignment horizontal="left" vertical="top" wrapText="1" indent="2"/>
    </xf>
    <xf numFmtId="0" fontId="37" fillId="0" borderId="0" xfId="37" applyFont="1" applyAlignment="1">
      <alignment horizontal="left" vertical="top" wrapText="1"/>
    </xf>
    <xf numFmtId="3" fontId="37" fillId="0" borderId="0" xfId="37" applyNumberFormat="1" applyFont="1" applyAlignment="1">
      <alignment vertical="top" wrapText="1"/>
    </xf>
    <xf numFmtId="0" fontId="38" fillId="0" borderId="0" xfId="36" applyFont="1" applyAlignment="1">
      <alignment horizontal="left" vertical="top" indent="3"/>
    </xf>
    <xf numFmtId="0" fontId="46" fillId="0" borderId="0" xfId="37" applyFont="1" applyAlignment="1">
      <alignment horizontal="left" vertical="top" wrapText="1" indent="1"/>
    </xf>
    <xf numFmtId="0" fontId="46" fillId="0" borderId="0" xfId="37" quotePrefix="1" applyFont="1" applyAlignment="1">
      <alignment horizontal="left" vertical="top" indent="1"/>
    </xf>
    <xf numFmtId="3" fontId="46" fillId="0" borderId="0" xfId="37" quotePrefix="1" applyNumberFormat="1" applyFont="1" applyAlignment="1">
      <alignment vertical="top"/>
    </xf>
    <xf numFmtId="0" fontId="16" fillId="0" borderId="0" xfId="31" applyFont="1" applyAlignment="1" applyProtection="1">
      <alignment horizontal="left" vertical="top" wrapText="1" indent="2"/>
    </xf>
    <xf numFmtId="0" fontId="46" fillId="0" borderId="0" xfId="37" quotePrefix="1" applyFont="1" applyAlignment="1">
      <alignment horizontal="left" wrapText="1" indent="1"/>
    </xf>
    <xf numFmtId="0" fontId="37" fillId="0" borderId="0" xfId="43" applyFont="1" applyAlignment="1">
      <alignment horizontal="left" vertical="top" indent="2"/>
    </xf>
    <xf numFmtId="3" fontId="37" fillId="0" borderId="0" xfId="43" applyNumberFormat="1" applyFont="1" applyAlignment="1">
      <alignment vertical="top"/>
    </xf>
    <xf numFmtId="3" fontId="52" fillId="0" borderId="0" xfId="37" applyNumberFormat="1" applyFont="1" applyAlignment="1">
      <alignment vertical="top" wrapText="1"/>
    </xf>
    <xf numFmtId="0" fontId="38" fillId="0" borderId="0" xfId="37" quotePrefix="1" applyFont="1" applyAlignment="1">
      <alignment horizontal="left" vertical="top" wrapText="1" indent="1"/>
    </xf>
    <xf numFmtId="3" fontId="38" fillId="0" borderId="0" xfId="37" quotePrefix="1" applyNumberFormat="1" applyFont="1" applyAlignment="1">
      <alignment vertical="top" wrapText="1"/>
    </xf>
    <xf numFmtId="9" fontId="38" fillId="0" borderId="0" xfId="150" quotePrefix="1" applyFont="1" applyAlignment="1">
      <alignment vertical="top" wrapText="1"/>
    </xf>
    <xf numFmtId="0" fontId="45" fillId="0" borderId="0" xfId="37" quotePrefix="1" applyFont="1" applyAlignment="1">
      <alignment horizontal="left" vertical="top" wrapText="1"/>
    </xf>
    <xf numFmtId="3" fontId="16" fillId="0" borderId="0" xfId="37" quotePrefix="1" applyNumberFormat="1" applyFont="1" applyAlignment="1">
      <alignment vertical="top" wrapText="1"/>
    </xf>
    <xf numFmtId="9" fontId="16" fillId="0" borderId="0" xfId="150" quotePrefix="1" applyFont="1" applyAlignment="1">
      <alignment vertical="top" wrapText="1"/>
    </xf>
    <xf numFmtId="0" fontId="41" fillId="0" borderId="0" xfId="37" applyFont="1" applyAlignment="1">
      <alignment horizontal="left" vertical="top"/>
    </xf>
    <xf numFmtId="3" fontId="41" fillId="0" borderId="0" xfId="37" applyNumberFormat="1" applyFont="1" applyAlignment="1">
      <alignment vertical="top"/>
    </xf>
    <xf numFmtId="49" fontId="52" fillId="0" borderId="0" xfId="37" applyNumberFormat="1" applyFont="1" applyAlignment="1">
      <alignment horizontal="left" wrapText="1" indent="1"/>
    </xf>
    <xf numFmtId="0" fontId="52" fillId="0" borderId="0" xfId="36" applyFont="1" applyAlignment="1">
      <alignment horizontal="left" vertical="top" wrapText="1" indent="3"/>
    </xf>
    <xf numFmtId="0" fontId="37" fillId="0" borderId="0" xfId="149" applyFont="1" applyAlignment="1">
      <alignment horizontal="left" indent="2"/>
    </xf>
    <xf numFmtId="0" fontId="16" fillId="0" borderId="0" xfId="45" applyFont="1" applyFill="1" applyBorder="1" applyAlignment="1" applyProtection="1">
      <alignment horizontal="left" vertical="top" wrapText="1" indent="2"/>
    </xf>
    <xf numFmtId="0" fontId="43" fillId="0" borderId="0" xfId="36" applyFont="1" applyAlignment="1">
      <alignment horizontal="left" vertical="top" wrapText="1" indent="1"/>
    </xf>
    <xf numFmtId="0" fontId="37" fillId="0" borderId="0" xfId="36" applyFont="1" applyAlignment="1">
      <alignment horizontal="left" vertical="top" indent="2"/>
    </xf>
    <xf numFmtId="0" fontId="52" fillId="0" borderId="0" xfId="36" applyFont="1" applyAlignment="1">
      <alignment horizontal="left" vertical="top"/>
    </xf>
    <xf numFmtId="0" fontId="35" fillId="0" borderId="0" xfId="36" applyFont="1" applyAlignment="1">
      <alignment horizontal="left" vertical="top" wrapText="1" indent="3"/>
    </xf>
    <xf numFmtId="0" fontId="41" fillId="0" borderId="0" xfId="43" applyFont="1" applyAlignment="1">
      <alignment horizontal="left" vertical="top" wrapText="1"/>
    </xf>
    <xf numFmtId="3" fontId="41" fillId="0" borderId="0" xfId="43" applyNumberFormat="1" applyFont="1" applyAlignment="1">
      <alignment vertical="top" wrapText="1"/>
    </xf>
    <xf numFmtId="0" fontId="43" fillId="0" borderId="0" xfId="43" applyFont="1" applyAlignment="1">
      <alignment horizontal="left" vertical="top" wrapText="1" indent="1"/>
    </xf>
    <xf numFmtId="3" fontId="37" fillId="0" borderId="0" xfId="43" applyNumberFormat="1" applyFont="1" applyAlignment="1">
      <alignment vertical="top" wrapText="1"/>
    </xf>
    <xf numFmtId="0" fontId="37" fillId="0" borderId="0" xfId="43" applyFont="1" applyAlignment="1">
      <alignment horizontal="left" vertical="top" wrapText="1" indent="2"/>
    </xf>
    <xf numFmtId="0" fontId="37" fillId="0" borderId="0" xfId="37" applyFont="1" applyAlignment="1">
      <alignment horizontal="left" vertical="top"/>
    </xf>
    <xf numFmtId="0" fontId="52" fillId="0" borderId="0" xfId="36" applyFont="1" applyAlignment="1">
      <alignment horizontal="left" vertical="top" indent="7"/>
    </xf>
    <xf numFmtId="3" fontId="46" fillId="0" borderId="0" xfId="31" quotePrefix="1" applyNumberFormat="1" applyFont="1" applyFill="1" applyBorder="1" applyAlignment="1" applyProtection="1">
      <alignment vertical="top"/>
    </xf>
    <xf numFmtId="0" fontId="46" fillId="0" borderId="0" xfId="36" quotePrefix="1" applyFont="1" applyAlignment="1">
      <alignment horizontal="left" vertical="top" indent="1"/>
    </xf>
    <xf numFmtId="3" fontId="46" fillId="0" borderId="0" xfId="36" quotePrefix="1" applyNumberFormat="1" applyFont="1" applyAlignment="1">
      <alignment vertical="top"/>
    </xf>
    <xf numFmtId="0" fontId="35" fillId="0" borderId="0" xfId="35" applyFont="1" applyAlignment="1">
      <alignment horizontal="left" vertical="top"/>
    </xf>
    <xf numFmtId="3" fontId="35" fillId="0" borderId="0" xfId="35" applyNumberFormat="1" applyFont="1" applyAlignment="1">
      <alignment vertical="top"/>
    </xf>
    <xf numFmtId="0" fontId="37" fillId="0" borderId="0" xfId="37" applyFont="1" applyAlignment="1">
      <alignment horizontal="left" vertical="top" indent="2"/>
    </xf>
    <xf numFmtId="0" fontId="16" fillId="0" borderId="0" xfId="37" applyFont="1" applyAlignment="1">
      <alignment horizontal="left" vertical="top" indent="4"/>
    </xf>
    <xf numFmtId="0" fontId="16" fillId="0" borderId="0" xfId="37" applyFont="1" applyAlignment="1">
      <alignment horizontal="left" vertical="top" wrapText="1" indent="4"/>
    </xf>
    <xf numFmtId="0" fontId="16" fillId="0" borderId="0" xfId="0" applyFont="1" applyAlignment="1">
      <alignment horizontal="left" vertical="top" indent="4"/>
    </xf>
    <xf numFmtId="0" fontId="44" fillId="0" borderId="0" xfId="0" applyFont="1" applyAlignment="1">
      <alignment horizontal="left" vertical="top"/>
    </xf>
    <xf numFmtId="3" fontId="44" fillId="0" borderId="0" xfId="0" applyNumberFormat="1" applyFont="1" applyAlignment="1">
      <alignment vertical="top"/>
    </xf>
    <xf numFmtId="0" fontId="42" fillId="0" borderId="0" xfId="36" applyFont="1" applyAlignment="1">
      <alignment horizontal="left" vertical="top" indent="1"/>
    </xf>
    <xf numFmtId="0" fontId="44" fillId="0" borderId="0" xfId="36" applyFont="1" applyAlignment="1">
      <alignment horizontal="left"/>
    </xf>
    <xf numFmtId="0" fontId="38" fillId="0" borderId="0" xfId="36" applyFont="1" applyAlignment="1">
      <alignment horizontal="left" indent="1"/>
    </xf>
    <xf numFmtId="0" fontId="38" fillId="0" borderId="0" xfId="36" applyFont="1" applyAlignment="1">
      <alignment horizontal="left" indent="2"/>
    </xf>
    <xf numFmtId="0" fontId="16" fillId="0" borderId="0" xfId="272" applyFont="1" applyAlignment="1">
      <alignment horizontal="left" vertical="top"/>
    </xf>
    <xf numFmtId="166" fontId="88" fillId="0" borderId="0" xfId="35" applyNumberFormat="1" applyFont="1" applyAlignment="1">
      <alignment horizontal="left" vertical="top"/>
    </xf>
    <xf numFmtId="0" fontId="16" fillId="0" borderId="0" xfId="37" applyFont="1" applyAlignment="1">
      <alignment horizontal="left" vertical="top" wrapText="1"/>
    </xf>
    <xf numFmtId="9" fontId="48" fillId="0" borderId="0" xfId="46" applyFont="1" applyAlignment="1">
      <alignment vertical="top"/>
    </xf>
    <xf numFmtId="9" fontId="47" fillId="0" borderId="0" xfId="46" applyFont="1" applyAlignment="1">
      <alignment vertical="top"/>
    </xf>
    <xf numFmtId="9" fontId="16" fillId="0" borderId="0" xfId="46" applyFont="1" applyAlignment="1">
      <alignment vertical="top"/>
    </xf>
    <xf numFmtId="9" fontId="38" fillId="0" borderId="0" xfId="46" applyFont="1" applyAlignment="1">
      <alignment vertical="top"/>
    </xf>
    <xf numFmtId="0" fontId="35" fillId="0" borderId="0" xfId="0" applyFont="1" applyAlignment="1">
      <alignment vertical="top"/>
    </xf>
    <xf numFmtId="0" fontId="93" fillId="0" borderId="0" xfId="0" applyFont="1"/>
    <xf numFmtId="0" fontId="102" fillId="0" borderId="0" xfId="0" applyFont="1"/>
    <xf numFmtId="0" fontId="103" fillId="0" borderId="0" xfId="0" applyFont="1" applyAlignment="1">
      <alignment vertical="top" wrapText="1"/>
    </xf>
    <xf numFmtId="3" fontId="52" fillId="0" borderId="0" xfId="43" applyNumberFormat="1" applyFont="1" applyAlignment="1">
      <alignment vertical="top"/>
    </xf>
    <xf numFmtId="3" fontId="104" fillId="0" borderId="0" xfId="43" applyNumberFormat="1" applyFont="1" applyAlignment="1">
      <alignment vertical="top"/>
    </xf>
    <xf numFmtId="9" fontId="104" fillId="0" borderId="0" xfId="150" applyFont="1" applyAlignment="1">
      <alignment vertical="top"/>
    </xf>
    <xf numFmtId="3" fontId="52" fillId="0" borderId="0" xfId="43" applyNumberFormat="1" applyFont="1" applyAlignment="1">
      <alignment vertical="top" wrapText="1"/>
    </xf>
    <xf numFmtId="3" fontId="105" fillId="0" borderId="0" xfId="43" applyNumberFormat="1" applyFont="1" applyAlignment="1">
      <alignment vertical="top"/>
    </xf>
    <xf numFmtId="9" fontId="105" fillId="0" borderId="0" xfId="150" applyFont="1" applyAlignment="1">
      <alignment vertical="top"/>
    </xf>
    <xf numFmtId="3" fontId="106" fillId="0" borderId="0" xfId="43" applyNumberFormat="1" applyFont="1" applyAlignment="1">
      <alignment vertical="top" wrapText="1"/>
    </xf>
    <xf numFmtId="3" fontId="48" fillId="0" borderId="0" xfId="43" applyNumberFormat="1" applyFont="1" applyAlignment="1"/>
    <xf numFmtId="3" fontId="48" fillId="0" borderId="0" xfId="43" applyNumberFormat="1" applyFont="1" applyAlignment="1">
      <alignment wrapText="1"/>
    </xf>
    <xf numFmtId="0" fontId="48" fillId="0" borderId="0" xfId="0" applyFont="1" applyFill="1" applyAlignment="1">
      <alignment vertical="top"/>
    </xf>
    <xf numFmtId="0" fontId="96" fillId="0" borderId="0" xfId="0" applyFont="1" applyAlignment="1">
      <alignment vertical="top"/>
    </xf>
    <xf numFmtId="0" fontId="35" fillId="0" borderId="0" xfId="0" applyFont="1" applyFill="1" applyAlignment="1">
      <alignment vertical="top"/>
    </xf>
    <xf numFmtId="3" fontId="49" fillId="0" borderId="0" xfId="0" applyNumberFormat="1" applyFont="1"/>
    <xf numFmtId="168" fontId="38" fillId="0" borderId="0" xfId="0" applyNumberFormat="1" applyFont="1"/>
    <xf numFmtId="168" fontId="48" fillId="0" borderId="0" xfId="0" applyNumberFormat="1" applyFont="1"/>
    <xf numFmtId="168" fontId="48" fillId="0" borderId="0" xfId="0" applyNumberFormat="1" applyFont="1" applyAlignment="1">
      <alignment vertical="top"/>
    </xf>
    <xf numFmtId="168" fontId="49" fillId="0" borderId="0" xfId="0" applyNumberFormat="1" applyFont="1"/>
    <xf numFmtId="168" fontId="49" fillId="0" borderId="0" xfId="0" applyNumberFormat="1" applyFont="1" applyAlignment="1">
      <alignment vertical="top"/>
    </xf>
    <xf numFmtId="168" fontId="48" fillId="0" borderId="0" xfId="0" applyNumberFormat="1" applyFont="1" applyAlignment="1"/>
    <xf numFmtId="9" fontId="54" fillId="0" borderId="0" xfId="46" applyFont="1" applyAlignment="1">
      <alignment horizontal="right" vertical="top"/>
    </xf>
    <xf numFmtId="9" fontId="37" fillId="0" borderId="0" xfId="46" applyFont="1" applyAlignment="1">
      <alignment horizontal="right" vertical="top"/>
    </xf>
    <xf numFmtId="3" fontId="52" fillId="0" borderId="0" xfId="36" applyNumberFormat="1" applyFont="1" applyFill="1" applyAlignment="1">
      <alignment vertical="top"/>
    </xf>
    <xf numFmtId="3" fontId="16" fillId="0" borderId="0" xfId="0" applyNumberFormat="1" applyFont="1" applyFill="1" applyAlignment="1">
      <alignment vertical="top"/>
    </xf>
    <xf numFmtId="3" fontId="16" fillId="0" borderId="0" xfId="36" applyNumberFormat="1" applyFont="1" applyFill="1" applyAlignment="1">
      <alignment vertical="top"/>
    </xf>
    <xf numFmtId="3" fontId="16" fillId="0" borderId="0" xfId="151" applyNumberFormat="1" applyFont="1" applyAlignment="1">
      <alignment vertical="top"/>
    </xf>
    <xf numFmtId="3" fontId="16" fillId="0" borderId="0" xfId="151" applyNumberFormat="1" applyFont="1" applyAlignment="1">
      <alignment vertical="top" wrapText="1"/>
    </xf>
    <xf numFmtId="0" fontId="103" fillId="0" borderId="0" xfId="0" applyFont="1" applyAlignment="1">
      <alignment vertical="top"/>
    </xf>
    <xf numFmtId="0" fontId="46" fillId="0" borderId="0" xfId="0" applyFont="1" applyAlignment="1">
      <alignment vertical="top"/>
    </xf>
    <xf numFmtId="169" fontId="35" fillId="0" borderId="0" xfId="36" applyNumberFormat="1" applyFont="1" applyAlignment="1">
      <alignment vertical="top"/>
    </xf>
    <xf numFmtId="3" fontId="54" fillId="0" borderId="0" xfId="43" applyNumberFormat="1" applyFont="1" applyAlignment="1">
      <alignment vertical="top" wrapText="1"/>
    </xf>
    <xf numFmtId="0" fontId="56" fillId="0" borderId="0" xfId="0" applyFont="1" applyAlignment="1">
      <alignment vertical="top"/>
    </xf>
    <xf numFmtId="9" fontId="38" fillId="0" borderId="0" xfId="46" applyFont="1" applyBorder="1" applyAlignment="1">
      <alignment vertical="top"/>
    </xf>
    <xf numFmtId="0" fontId="49" fillId="0" borderId="0" xfId="0" applyFont="1" applyAlignment="1">
      <alignment vertical="top"/>
    </xf>
    <xf numFmtId="0" fontId="52" fillId="32" borderId="0" xfId="36" applyFont="1" applyFill="1" applyAlignment="1">
      <alignment horizontal="left" vertical="top" indent="1"/>
    </xf>
    <xf numFmtId="0" fontId="16" fillId="32" borderId="0" xfId="36" applyFont="1" applyFill="1" applyAlignment="1">
      <alignment horizontal="left" vertical="top" wrapText="1" indent="2"/>
    </xf>
    <xf numFmtId="0" fontId="52" fillId="32" borderId="0" xfId="36" applyFont="1" applyFill="1" applyAlignment="1">
      <alignment horizontal="left" vertical="top" wrapText="1" indent="2"/>
    </xf>
    <xf numFmtId="0" fontId="45" fillId="32" borderId="0" xfId="36" applyFont="1" applyFill="1" applyAlignment="1">
      <alignment horizontal="left" vertical="top" wrapText="1"/>
    </xf>
    <xf numFmtId="9" fontId="49" fillId="0" borderId="0" xfId="46" applyFont="1" applyAlignment="1">
      <alignment vertical="top"/>
    </xf>
    <xf numFmtId="0" fontId="16" fillId="0" borderId="0" xfId="151" applyFill="1"/>
    <xf numFmtId="0" fontId="37" fillId="0" borderId="0" xfId="151" applyFont="1" applyAlignment="1">
      <alignment vertical="top"/>
    </xf>
    <xf numFmtId="0" fontId="16" fillId="0" borderId="0" xfId="36" applyFont="1" applyAlignment="1">
      <alignment horizontal="left" vertical="top"/>
    </xf>
    <xf numFmtId="0" fontId="45" fillId="0" borderId="0" xfId="151" applyFont="1" applyFill="1" applyAlignment="1">
      <alignment vertical="top" wrapText="1"/>
    </xf>
    <xf numFmtId="0" fontId="52" fillId="0" borderId="0" xfId="36" applyFont="1" applyFill="1" applyAlignment="1">
      <alignment horizontal="left" vertical="top" indent="1"/>
    </xf>
    <xf numFmtId="0" fontId="16" fillId="0" borderId="0" xfId="36" applyFont="1" applyFill="1" applyAlignment="1">
      <alignment horizontal="left" vertical="top" wrapText="1" indent="2"/>
    </xf>
    <xf numFmtId="0" fontId="52" fillId="0" borderId="0" xfId="36" applyFont="1" applyFill="1" applyAlignment="1">
      <alignment horizontal="left" vertical="top" wrapText="1" indent="2"/>
    </xf>
    <xf numFmtId="0" fontId="45" fillId="0" borderId="0" xfId="0" applyFont="1" applyFill="1" applyAlignment="1" applyProtection="1">
      <alignment horizontal="left" vertical="top" wrapText="1"/>
      <protection locked="0"/>
    </xf>
    <xf numFmtId="0" fontId="109" fillId="0" borderId="0" xfId="0" applyFont="1" applyFill="1" applyAlignment="1">
      <alignment vertical="top" wrapText="1"/>
    </xf>
    <xf numFmtId="3" fontId="16" fillId="0" borderId="0" xfId="37" applyNumberFormat="1" applyFont="1" applyFill="1" applyAlignment="1">
      <alignment vertical="top"/>
    </xf>
    <xf numFmtId="3" fontId="52" fillId="0" borderId="0" xfId="36" applyNumberFormat="1" applyFont="1" applyFill="1" applyAlignment="1">
      <alignment vertical="top" wrapText="1"/>
    </xf>
    <xf numFmtId="0" fontId="37" fillId="0" borderId="0" xfId="151" applyFont="1"/>
    <xf numFmtId="0" fontId="35" fillId="0" borderId="0" xfId="0" applyFont="1" applyAlignment="1">
      <alignment horizontal="left" vertical="top"/>
    </xf>
    <xf numFmtId="0" fontId="35" fillId="27" borderId="0" xfId="0" applyFont="1" applyFill="1" applyAlignment="1">
      <alignment vertical="top"/>
    </xf>
    <xf numFmtId="3" fontId="48" fillId="0" borderId="0" xfId="0" applyNumberFormat="1" applyFont="1" applyFill="1"/>
    <xf numFmtId="3" fontId="49" fillId="0" borderId="0" xfId="0" applyNumberFormat="1" applyFont="1" applyFill="1" applyAlignment="1">
      <alignment vertical="top"/>
    </xf>
    <xf numFmtId="0" fontId="41" fillId="0" borderId="0" xfId="0" applyFont="1"/>
    <xf numFmtId="14" fontId="37" fillId="0" borderId="0" xfId="0" applyNumberFormat="1" applyFont="1" applyAlignment="1">
      <alignment horizontal="left"/>
    </xf>
    <xf numFmtId="0" fontId="0" fillId="0" borderId="0" xfId="0" applyAlignment="1">
      <alignment horizontal="right"/>
    </xf>
    <xf numFmtId="0" fontId="37" fillId="0" borderId="0" xfId="0" applyFont="1" applyAlignment="1">
      <alignment horizontal="center" vertical="top"/>
    </xf>
    <xf numFmtId="0" fontId="37" fillId="0" borderId="0" xfId="0" applyFont="1" applyAlignment="1">
      <alignment horizontal="left" indent="2"/>
    </xf>
    <xf numFmtId="0" fontId="16" fillId="0" borderId="0" xfId="0" applyFont="1" applyAlignment="1">
      <alignment horizontal="left" indent="3"/>
    </xf>
    <xf numFmtId="0" fontId="16" fillId="0" borderId="0" xfId="0" quotePrefix="1" applyFont="1"/>
    <xf numFmtId="0" fontId="37" fillId="0" borderId="0" xfId="0" applyFont="1" applyAlignment="1">
      <alignment wrapText="1"/>
    </xf>
    <xf numFmtId="3" fontId="16" fillId="0" borderId="0" xfId="151" applyNumberFormat="1"/>
    <xf numFmtId="0" fontId="0" fillId="0" borderId="0" xfId="0" applyAlignment="1">
      <alignment vertical="top" wrapText="1"/>
    </xf>
    <xf numFmtId="0" fontId="38" fillId="0" borderId="0" xfId="0" applyFont="1" applyAlignment="1">
      <alignment vertical="top"/>
    </xf>
    <xf numFmtId="0" fontId="16" fillId="31" borderId="0" xfId="0" applyFont="1" applyFill="1" applyAlignment="1">
      <alignment vertical="top"/>
    </xf>
    <xf numFmtId="0" fontId="102" fillId="0" borderId="0" xfId="0" applyFont="1" applyAlignment="1">
      <alignment vertical="top"/>
    </xf>
    <xf numFmtId="0" fontId="54" fillId="0" borderId="0" xfId="0" applyFont="1" applyFill="1" applyAlignment="1">
      <alignment vertical="top" wrapText="1"/>
    </xf>
    <xf numFmtId="9" fontId="54" fillId="0" borderId="0" xfId="46" applyFont="1" applyAlignment="1">
      <alignment horizontal="right" vertical="top" wrapText="1"/>
    </xf>
    <xf numFmtId="0" fontId="45" fillId="0" borderId="0" xfId="36" applyFont="1" applyFill="1" applyAlignment="1">
      <alignment horizontal="left" vertical="top" wrapText="1"/>
    </xf>
    <xf numFmtId="0" fontId="52" fillId="0" borderId="0" xfId="36" applyFont="1" applyFill="1" applyAlignment="1">
      <alignment horizontal="left" vertical="top"/>
    </xf>
    <xf numFmtId="0" fontId="16" fillId="0" borderId="0" xfId="151"/>
    <xf numFmtId="0" fontId="54" fillId="0" borderId="0" xfId="36" applyFont="1" applyAlignment="1">
      <alignment horizontal="left" vertical="top" indent="1"/>
    </xf>
    <xf numFmtId="0" fontId="45" fillId="0" borderId="0" xfId="37" quotePrefix="1" applyFont="1" applyAlignment="1">
      <alignment vertical="top" wrapText="1"/>
    </xf>
    <xf numFmtId="3" fontId="16" fillId="0" borderId="0" xfId="43" applyNumberFormat="1" applyFont="1" applyAlignment="1">
      <alignment vertical="top"/>
    </xf>
    <xf numFmtId="0" fontId="103" fillId="27" borderId="0" xfId="0" applyFont="1" applyFill="1" applyAlignment="1">
      <alignment vertical="top"/>
    </xf>
    <xf numFmtId="0" fontId="112" fillId="0" borderId="0" xfId="0" applyFont="1" applyAlignment="1">
      <alignment vertical="top"/>
    </xf>
    <xf numFmtId="0" fontId="35" fillId="31" borderId="0" xfId="0" applyFont="1" applyFill="1" applyAlignment="1">
      <alignment vertical="top"/>
    </xf>
    <xf numFmtId="3" fontId="48" fillId="0" borderId="0" xfId="0" applyNumberFormat="1" applyFont="1" applyFill="1" applyAlignment="1">
      <alignment vertical="top"/>
    </xf>
    <xf numFmtId="0" fontId="48" fillId="0" borderId="0" xfId="0" applyFont="1" applyFill="1" applyAlignment="1">
      <alignment horizontal="left"/>
    </xf>
    <xf numFmtId="3" fontId="54" fillId="0" borderId="0" xfId="0" applyNumberFormat="1" applyFont="1" applyAlignment="1">
      <alignment vertical="top" wrapText="1"/>
    </xf>
    <xf numFmtId="4" fontId="16" fillId="0" borderId="0" xfId="151" applyNumberFormat="1"/>
    <xf numFmtId="0" fontId="41" fillId="0" borderId="0" xfId="151" applyFont="1"/>
    <xf numFmtId="0" fontId="42" fillId="0" borderId="0" xfId="151" applyFont="1" applyAlignment="1">
      <alignment horizontal="left" indent="2"/>
    </xf>
    <xf numFmtId="3" fontId="42" fillId="0" borderId="0" xfId="151" applyNumberFormat="1" applyFont="1"/>
    <xf numFmtId="0" fontId="38" fillId="0" borderId="0" xfId="151" applyFont="1" applyAlignment="1">
      <alignment horizontal="left" indent="4"/>
    </xf>
    <xf numFmtId="3" fontId="38" fillId="0" borderId="0" xfId="151" applyNumberFormat="1" applyFont="1"/>
    <xf numFmtId="0" fontId="38" fillId="0" borderId="0" xfId="151" applyFont="1" applyAlignment="1">
      <alignment horizontal="left" wrapText="1" indent="4"/>
    </xf>
    <xf numFmtId="0" fontId="38" fillId="0" borderId="0" xfId="151" applyFont="1" applyAlignment="1">
      <alignment horizontal="left" indent="6"/>
    </xf>
    <xf numFmtId="0" fontId="38" fillId="0" borderId="0" xfId="35" applyFont="1" applyAlignment="1">
      <alignment horizontal="left" indent="6"/>
    </xf>
    <xf numFmtId="0" fontId="37" fillId="0" borderId="0" xfId="151" applyFont="1" applyAlignment="1">
      <alignment horizontal="left" indent="1"/>
    </xf>
    <xf numFmtId="3" fontId="43" fillId="0" borderId="0" xfId="151" applyNumberFormat="1" applyFont="1"/>
    <xf numFmtId="0" fontId="42" fillId="0" borderId="0" xfId="151" applyFont="1" applyAlignment="1">
      <alignment horizontal="left"/>
    </xf>
    <xf numFmtId="3" fontId="37" fillId="0" borderId="0" xfId="151" applyNumberFormat="1" applyFont="1"/>
    <xf numFmtId="0" fontId="44" fillId="0" borderId="20" xfId="151" applyFont="1" applyBorder="1" applyAlignment="1">
      <alignment horizontal="left" indent="1"/>
    </xf>
    <xf numFmtId="3" fontId="44" fillId="0" borderId="20" xfId="151" applyNumberFormat="1" applyFont="1" applyBorder="1"/>
    <xf numFmtId="0" fontId="44" fillId="0" borderId="0" xfId="151" applyFont="1" applyAlignment="1">
      <alignment horizontal="left" indent="1"/>
    </xf>
    <xf numFmtId="3" fontId="44" fillId="0" borderId="0" xfId="151" applyNumberFormat="1" applyFont="1"/>
    <xf numFmtId="0" fontId="37" fillId="0" borderId="0" xfId="151" applyFont="1" applyAlignment="1">
      <alignment horizontal="left" indent="2"/>
    </xf>
    <xf numFmtId="0" fontId="45" fillId="0" borderId="0" xfId="151" applyFont="1" applyAlignment="1">
      <alignment horizontal="left" indent="6"/>
    </xf>
    <xf numFmtId="0" fontId="38" fillId="0" borderId="0" xfId="151" applyFont="1" applyAlignment="1">
      <alignment horizontal="left" indent="7"/>
    </xf>
    <xf numFmtId="0" fontId="42" fillId="0" borderId="0" xfId="151" applyFont="1" applyAlignment="1">
      <alignment horizontal="left" indent="4"/>
    </xf>
    <xf numFmtId="0" fontId="42" fillId="0" borderId="0" xfId="151" applyFont="1" applyAlignment="1">
      <alignment horizontal="left" indent="1"/>
    </xf>
    <xf numFmtId="3" fontId="56" fillId="0" borderId="0" xfId="151" applyNumberFormat="1" applyFont="1"/>
    <xf numFmtId="0" fontId="16" fillId="0" borderId="0" xfId="151" applyAlignment="1">
      <alignment horizontal="justify" vertical="center"/>
    </xf>
    <xf numFmtId="9" fontId="16" fillId="0" borderId="0" xfId="151" applyNumberFormat="1"/>
    <xf numFmtId="9" fontId="56" fillId="0" borderId="0" xfId="151" applyNumberFormat="1" applyFont="1"/>
    <xf numFmtId="9" fontId="37" fillId="0" borderId="0" xfId="151" applyNumberFormat="1" applyFont="1"/>
    <xf numFmtId="3" fontId="37" fillId="0" borderId="0" xfId="148" applyNumberFormat="1" applyFont="1"/>
    <xf numFmtId="0" fontId="16" fillId="0" borderId="0" xfId="151" applyAlignment="1">
      <alignment horizontal="left" indent="3"/>
    </xf>
    <xf numFmtId="3" fontId="16" fillId="0" borderId="0" xfId="148" applyNumberFormat="1"/>
    <xf numFmtId="0" fontId="16" fillId="0" borderId="0" xfId="151" applyAlignment="1">
      <alignment horizontal="left" indent="5"/>
    </xf>
    <xf numFmtId="166" fontId="47" fillId="0" borderId="0" xfId="151" applyNumberFormat="1" applyFont="1"/>
    <xf numFmtId="0" fontId="48" fillId="0" borderId="0" xfId="151" applyFont="1"/>
    <xf numFmtId="3" fontId="47" fillId="0" borderId="0" xfId="151" applyNumberFormat="1" applyFont="1"/>
    <xf numFmtId="3" fontId="48" fillId="0" borderId="0" xfId="151" applyNumberFormat="1" applyFont="1"/>
    <xf numFmtId="0" fontId="16" fillId="0" borderId="0" xfId="151" applyFont="1" applyFill="1"/>
    <xf numFmtId="0" fontId="45" fillId="0" borderId="0" xfId="36" applyFont="1" applyFill="1" applyAlignment="1">
      <alignment horizontal="left" vertical="top"/>
    </xf>
    <xf numFmtId="0" fontId="16" fillId="0" borderId="0" xfId="0" applyFont="1" applyFill="1" applyAlignment="1">
      <alignment vertical="top"/>
    </xf>
    <xf numFmtId="0" fontId="0" fillId="0" borderId="0" xfId="0" applyFont="1" applyAlignment="1">
      <alignment vertical="top"/>
    </xf>
    <xf numFmtId="0" fontId="93" fillId="0" borderId="0" xfId="0" applyFont="1" applyAlignment="1">
      <alignment vertical="top"/>
    </xf>
    <xf numFmtId="0" fontId="107" fillId="0" borderId="0" xfId="0" applyFont="1" applyAlignment="1">
      <alignment vertical="top"/>
    </xf>
    <xf numFmtId="3" fontId="0" fillId="0" borderId="0" xfId="0" applyNumberFormat="1" applyBorder="1" applyAlignment="1">
      <alignment vertical="top"/>
    </xf>
    <xf numFmtId="3" fontId="30" fillId="0" borderId="0" xfId="0" applyNumberFormat="1" applyFont="1" applyFill="1" applyBorder="1" applyAlignment="1">
      <alignment horizontal="right" vertical="top"/>
    </xf>
    <xf numFmtId="3" fontId="16" fillId="0" borderId="0" xfId="43" applyNumberFormat="1" applyFont="1" applyAlignment="1">
      <alignment vertical="top" wrapText="1"/>
    </xf>
    <xf numFmtId="3" fontId="38" fillId="0" borderId="0" xfId="43" applyNumberFormat="1" applyFont="1"/>
    <xf numFmtId="0" fontId="52" fillId="0" borderId="0" xfId="0" applyFont="1" applyAlignment="1">
      <alignment vertical="top"/>
    </xf>
    <xf numFmtId="3" fontId="52" fillId="0" borderId="0" xfId="37" applyNumberFormat="1" applyFont="1" applyAlignment="1">
      <alignment vertical="top"/>
    </xf>
    <xf numFmtId="0" fontId="0" fillId="0" borderId="0" xfId="0" applyAlignment="1">
      <alignment horizontal="right"/>
    </xf>
    <xf numFmtId="0" fontId="0" fillId="33" borderId="0" xfId="0" applyFill="1" applyAlignment="1">
      <alignment vertical="top"/>
    </xf>
    <xf numFmtId="0" fontId="0" fillId="0" borderId="0" xfId="0" applyFill="1"/>
    <xf numFmtId="0" fontId="45" fillId="0" borderId="0" xfId="37" applyFont="1" applyFill="1" applyAlignment="1">
      <alignment horizontal="left" vertical="top"/>
    </xf>
    <xf numFmtId="0" fontId="16" fillId="0" borderId="0" xfId="151" applyAlignment="1">
      <alignment horizontal="right"/>
    </xf>
    <xf numFmtId="0" fontId="16" fillId="0" borderId="0" xfId="151" applyAlignment="1">
      <alignment horizontal="left" wrapText="1" indent="2"/>
    </xf>
    <xf numFmtId="0" fontId="16" fillId="0" borderId="0" xfId="151" applyAlignment="1"/>
    <xf numFmtId="3" fontId="42" fillId="0" borderId="0" xfId="151" applyNumberFormat="1" applyFont="1" applyAlignment="1"/>
    <xf numFmtId="3" fontId="38" fillId="0" borderId="0" xfId="151" applyNumberFormat="1" applyFont="1" applyAlignment="1"/>
    <xf numFmtId="3" fontId="16" fillId="0" borderId="0" xfId="151" applyNumberFormat="1" applyAlignment="1"/>
    <xf numFmtId="3" fontId="37" fillId="0" borderId="0" xfId="151" applyNumberFormat="1" applyFont="1" applyAlignment="1"/>
    <xf numFmtId="3" fontId="44" fillId="0" borderId="20" xfId="151" applyNumberFormat="1" applyFont="1" applyBorder="1" applyAlignment="1"/>
    <xf numFmtId="3" fontId="44" fillId="0" borderId="0" xfId="151" applyNumberFormat="1" applyFont="1" applyAlignment="1"/>
    <xf numFmtId="170" fontId="16" fillId="0" borderId="0" xfId="150" applyNumberFormat="1" applyFont="1"/>
    <xf numFmtId="9" fontId="56" fillId="0" borderId="0" xfId="150" applyFont="1"/>
    <xf numFmtId="170" fontId="42" fillId="0" borderId="0" xfId="150" applyNumberFormat="1" applyFont="1"/>
    <xf numFmtId="170" fontId="38" fillId="0" borderId="0" xfId="150" applyNumberFormat="1" applyFont="1"/>
    <xf numFmtId="170" fontId="43" fillId="0" borderId="0" xfId="150" applyNumberFormat="1" applyFont="1"/>
    <xf numFmtId="170" fontId="37" fillId="0" borderId="0" xfId="150" applyNumberFormat="1" applyFont="1"/>
    <xf numFmtId="170" fontId="44" fillId="0" borderId="20" xfId="150" applyNumberFormat="1" applyFont="1" applyBorder="1"/>
    <xf numFmtId="170" fontId="44" fillId="0" borderId="0" xfId="150" applyNumberFormat="1" applyFont="1"/>
    <xf numFmtId="170" fontId="0" fillId="0" borderId="0" xfId="150" applyNumberFormat="1" applyFont="1"/>
    <xf numFmtId="170" fontId="37" fillId="0" borderId="0" xfId="0" applyNumberFormat="1" applyFont="1"/>
    <xf numFmtId="170" fontId="0" fillId="0" borderId="0" xfId="0" applyNumberFormat="1"/>
    <xf numFmtId="0" fontId="88" fillId="34" borderId="10" xfId="271" applyFont="1" applyFill="1" applyBorder="1" applyAlignment="1">
      <alignment horizontal="center" vertical="top" wrapText="1"/>
    </xf>
    <xf numFmtId="164" fontId="88" fillId="34" borderId="12" xfId="87" applyFont="1" applyFill="1" applyBorder="1" applyAlignment="1">
      <alignment horizontal="center" vertical="top" wrapText="1"/>
    </xf>
    <xf numFmtId="164" fontId="88" fillId="35" borderId="10" xfId="87" applyFont="1" applyFill="1" applyBorder="1" applyAlignment="1">
      <alignment horizontal="center" vertical="top" wrapText="1"/>
    </xf>
    <xf numFmtId="170" fontId="88" fillId="35" borderId="10" xfId="87" applyNumberFormat="1" applyFont="1" applyFill="1" applyBorder="1" applyAlignment="1">
      <alignment horizontal="center" vertical="top" wrapText="1"/>
    </xf>
    <xf numFmtId="164" fontId="88" fillId="36" borderId="10" xfId="87" applyFont="1" applyFill="1" applyBorder="1" applyAlignment="1">
      <alignment horizontal="center" vertical="top" wrapText="1"/>
    </xf>
    <xf numFmtId="170" fontId="88" fillId="36" borderId="10" xfId="87" applyNumberFormat="1" applyFont="1" applyFill="1" applyBorder="1" applyAlignment="1">
      <alignment horizontal="center" vertical="top" wrapText="1"/>
    </xf>
    <xf numFmtId="164" fontId="88" fillId="29" borderId="10" xfId="87" applyFont="1" applyFill="1" applyBorder="1" applyAlignment="1">
      <alignment horizontal="center" vertical="top" wrapText="1"/>
    </xf>
    <xf numFmtId="3" fontId="38" fillId="0" borderId="0" xfId="151" applyNumberFormat="1" applyFont="1" applyFill="1" applyAlignment="1"/>
    <xf numFmtId="3" fontId="42" fillId="0" borderId="0" xfId="151" applyNumberFormat="1" applyFont="1" applyFill="1" applyAlignment="1"/>
    <xf numFmtId="164" fontId="88" fillId="29" borderId="12" xfId="87" applyFont="1" applyFill="1" applyBorder="1" applyAlignment="1">
      <alignment horizontal="center" vertical="top" wrapText="1"/>
    </xf>
    <xf numFmtId="166" fontId="88" fillId="0" borderId="18" xfId="271" applyNumberFormat="1" applyFont="1" applyBorder="1" applyAlignment="1">
      <alignment horizontal="right" vertical="top" wrapText="1"/>
    </xf>
    <xf numFmtId="9" fontId="52" fillId="0" borderId="0" xfId="150" applyFont="1" applyFill="1" applyAlignment="1">
      <alignment vertical="top"/>
    </xf>
    <xf numFmtId="9" fontId="16" fillId="0" borderId="0" xfId="150" applyFont="1" applyFill="1" applyAlignment="1">
      <alignment vertical="top"/>
    </xf>
    <xf numFmtId="9" fontId="54" fillId="0" borderId="0" xfId="150" applyFont="1" applyAlignment="1">
      <alignment vertical="top" wrapText="1"/>
    </xf>
    <xf numFmtId="9" fontId="52" fillId="0" borderId="0" xfId="150" applyFont="1" applyFill="1" applyAlignment="1">
      <alignment vertical="top" wrapText="1"/>
    </xf>
    <xf numFmtId="9" fontId="93" fillId="0" borderId="0" xfId="150" applyFont="1" applyAlignment="1">
      <alignment vertical="top"/>
    </xf>
    <xf numFmtId="0" fontId="92" fillId="0" borderId="10" xfId="49" applyFont="1" applyBorder="1" applyAlignment="1">
      <alignment horizontal="left" vertical="top"/>
    </xf>
    <xf numFmtId="3" fontId="37" fillId="0" borderId="10" xfId="153" applyNumberFormat="1" applyFont="1" applyFill="1" applyBorder="1" applyAlignment="1" applyProtection="1">
      <alignment vertical="top"/>
      <protection locked="0"/>
    </xf>
    <xf numFmtId="0" fontId="16" fillId="0" borderId="10" xfId="153" applyFont="1" applyFill="1" applyBorder="1" applyAlignment="1" applyProtection="1">
      <alignment horizontal="left" vertical="top"/>
      <protection locked="0"/>
    </xf>
    <xf numFmtId="3" fontId="16" fillId="0" borderId="10" xfId="153" applyNumberFormat="1" applyFont="1" applyFill="1" applyBorder="1" applyAlignment="1" applyProtection="1">
      <alignment vertical="top"/>
      <protection locked="0"/>
    </xf>
    <xf numFmtId="3" fontId="16" fillId="0" borderId="10" xfId="153" applyNumberFormat="1" applyFont="1" applyFill="1" applyBorder="1" applyAlignment="1" applyProtection="1">
      <alignment horizontal="right" vertical="top"/>
      <protection locked="0"/>
    </xf>
    <xf numFmtId="3" fontId="16" fillId="0" borderId="10" xfId="153" applyNumberFormat="1" applyFont="1" applyFill="1" applyBorder="1" applyAlignment="1" applyProtection="1">
      <alignment vertical="top" wrapText="1"/>
      <protection locked="0"/>
    </xf>
    <xf numFmtId="0" fontId="16" fillId="0" borderId="10" xfId="0" applyFont="1" applyFill="1" applyBorder="1"/>
    <xf numFmtId="9" fontId="16" fillId="0" borderId="10" xfId="150" applyFont="1" applyFill="1" applyBorder="1" applyAlignment="1" applyProtection="1">
      <alignment vertical="top"/>
      <protection locked="0"/>
    </xf>
    <xf numFmtId="9" fontId="16" fillId="0" borderId="10" xfId="150" applyFont="1" applyFill="1" applyBorder="1"/>
    <xf numFmtId="0" fontId="37" fillId="0" borderId="10" xfId="0" applyFont="1" applyFill="1" applyBorder="1"/>
    <xf numFmtId="3" fontId="37" fillId="0" borderId="10" xfId="0" applyNumberFormat="1" applyFont="1" applyFill="1" applyBorder="1"/>
    <xf numFmtId="9" fontId="37" fillId="0" borderId="10" xfId="150" applyFont="1" applyFill="1" applyBorder="1" applyAlignment="1" applyProtection="1">
      <alignment vertical="top"/>
      <protection locked="0"/>
    </xf>
    <xf numFmtId="170" fontId="37" fillId="0" borderId="10" xfId="150" applyNumberFormat="1" applyFont="1" applyFill="1" applyBorder="1" applyAlignment="1" applyProtection="1">
      <alignment vertical="top"/>
      <protection locked="0"/>
    </xf>
    <xf numFmtId="170" fontId="16" fillId="0" borderId="10" xfId="150" applyNumberFormat="1" applyFont="1" applyFill="1" applyBorder="1" applyAlignment="1" applyProtection="1">
      <alignment vertical="top"/>
      <protection locked="0"/>
    </xf>
    <xf numFmtId="0" fontId="8" fillId="0" borderId="0" xfId="268"/>
    <xf numFmtId="0" fontId="93" fillId="0" borderId="0" xfId="268" applyFont="1"/>
    <xf numFmtId="0" fontId="88" fillId="0" borderId="0" xfId="268" applyFont="1"/>
    <xf numFmtId="0" fontId="36" fillId="0" borderId="0" xfId="50" applyFont="1" applyAlignment="1">
      <alignment horizontal="left"/>
    </xf>
    <xf numFmtId="0" fontId="37" fillId="0" borderId="0" xfId="50" applyFont="1"/>
    <xf numFmtId="3" fontId="37" fillId="0" borderId="0" xfId="50" applyNumberFormat="1" applyFont="1"/>
    <xf numFmtId="3" fontId="16" fillId="0" borderId="0" xfId="50" applyNumberFormat="1"/>
    <xf numFmtId="0" fontId="108" fillId="0" borderId="0" xfId="268" applyFont="1"/>
    <xf numFmtId="0" fontId="47" fillId="0" borderId="0" xfId="268" applyFont="1"/>
    <xf numFmtId="0" fontId="0" fillId="0" borderId="0" xfId="268" applyFont="1"/>
    <xf numFmtId="3" fontId="113" fillId="0" borderId="0" xfId="151" applyNumberFormat="1" applyFont="1"/>
    <xf numFmtId="3" fontId="114" fillId="0" borderId="0" xfId="151" applyNumberFormat="1" applyFont="1"/>
    <xf numFmtId="170" fontId="114" fillId="0" borderId="0" xfId="150" applyNumberFormat="1" applyFont="1"/>
    <xf numFmtId="0" fontId="111" fillId="0" borderId="0" xfId="151" applyFont="1"/>
    <xf numFmtId="0" fontId="16" fillId="0" borderId="0" xfId="0" applyFont="1" applyAlignment="1">
      <alignment horizontal="right" vertical="top"/>
    </xf>
    <xf numFmtId="3" fontId="115" fillId="0" borderId="0" xfId="0" applyNumberFormat="1" applyFont="1"/>
    <xf numFmtId="3" fontId="47" fillId="0" borderId="0" xfId="0" applyNumberFormat="1" applyFont="1" applyFill="1" applyAlignment="1">
      <alignment vertical="top"/>
    </xf>
    <xf numFmtId="0" fontId="16" fillId="0" borderId="0" xfId="151"/>
    <xf numFmtId="49" fontId="41" fillId="37" borderId="12" xfId="151" applyNumberFormat="1" applyFont="1" applyFill="1" applyBorder="1" applyAlignment="1">
      <alignment horizontal="center"/>
    </xf>
    <xf numFmtId="171" fontId="37" fillId="38" borderId="17" xfId="151" applyNumberFormat="1" applyFont="1" applyFill="1" applyBorder="1"/>
    <xf numFmtId="171" fontId="16" fillId="39" borderId="17" xfId="151" applyNumberFormat="1" applyFill="1" applyBorder="1"/>
    <xf numFmtId="3" fontId="37" fillId="0" borderId="0" xfId="0" applyNumberFormat="1" applyFont="1" applyFill="1" applyAlignment="1">
      <alignment vertical="top"/>
    </xf>
    <xf numFmtId="3" fontId="42" fillId="0" borderId="0" xfId="0" applyNumberFormat="1" applyFont="1" applyFill="1" applyAlignment="1">
      <alignment vertical="top"/>
    </xf>
    <xf numFmtId="3" fontId="110" fillId="0" borderId="0" xfId="0" applyNumberFormat="1" applyFont="1" applyFill="1" applyAlignment="1">
      <alignment horizontal="right" vertical="top"/>
    </xf>
    <xf numFmtId="3" fontId="48" fillId="0" borderId="0" xfId="0" applyNumberFormat="1" applyFont="1" applyFill="1" applyAlignment="1">
      <alignment horizontal="right"/>
    </xf>
    <xf numFmtId="3" fontId="38" fillId="0" borderId="0" xfId="0" applyNumberFormat="1" applyFont="1" applyFill="1" applyAlignment="1">
      <alignment horizontal="right"/>
    </xf>
    <xf numFmtId="3" fontId="38" fillId="0" borderId="0" xfId="0" applyNumberFormat="1" applyFont="1" applyFill="1" applyAlignment="1">
      <alignment horizontal="right" vertical="top"/>
    </xf>
    <xf numFmtId="3" fontId="16" fillId="0" borderId="0" xfId="0" applyNumberFormat="1" applyFont="1" applyFill="1" applyAlignment="1">
      <alignment horizontal="right" vertical="top"/>
    </xf>
    <xf numFmtId="9" fontId="38" fillId="0" borderId="0" xfId="150" applyNumberFormat="1" applyFont="1" applyAlignment="1">
      <alignment vertical="top"/>
    </xf>
    <xf numFmtId="0" fontId="49" fillId="0" borderId="0" xfId="43" applyFont="1" applyFill="1" applyAlignment="1">
      <alignment horizontal="left" vertical="top" wrapText="1" indent="3"/>
    </xf>
    <xf numFmtId="0" fontId="49" fillId="0" borderId="0" xfId="43" applyFont="1" applyFill="1" applyAlignment="1">
      <alignment horizontal="left" vertical="top" indent="3"/>
    </xf>
    <xf numFmtId="0" fontId="54" fillId="0" borderId="0" xfId="0" applyFont="1" applyFill="1" applyAlignment="1">
      <alignment horizontal="left" vertical="top" indent="4"/>
    </xf>
    <xf numFmtId="3" fontId="16" fillId="0" borderId="0" xfId="0" applyNumberFormat="1" applyFont="1" applyBorder="1" applyAlignment="1">
      <alignment horizontal="right"/>
    </xf>
    <xf numFmtId="0" fontId="16" fillId="0" borderId="0" xfId="0" applyFont="1" applyBorder="1"/>
    <xf numFmtId="3" fontId="35" fillId="0" borderId="0" xfId="43" applyNumberFormat="1" applyFont="1" applyAlignment="1">
      <alignment wrapText="1"/>
    </xf>
    <xf numFmtId="3" fontId="54" fillId="0" borderId="0" xfId="43" applyNumberFormat="1" applyFont="1"/>
    <xf numFmtId="0" fontId="90" fillId="0" borderId="0" xfId="37" applyFont="1" applyAlignment="1">
      <alignment horizontal="left" vertical="top"/>
    </xf>
    <xf numFmtId="3" fontId="35" fillId="0" borderId="0" xfId="37" quotePrefix="1" applyNumberFormat="1" applyFont="1" applyAlignment="1">
      <alignment vertical="top" wrapText="1"/>
    </xf>
    <xf numFmtId="3" fontId="85" fillId="0" borderId="0" xfId="0" applyNumberFormat="1" applyFont="1" applyAlignment="1">
      <alignment vertical="top"/>
    </xf>
    <xf numFmtId="0" fontId="46" fillId="0" borderId="0" xfId="0" applyFont="1" applyAlignment="1">
      <alignment horizontal="left" vertical="top"/>
    </xf>
    <xf numFmtId="0" fontId="89" fillId="0" borderId="0" xfId="0" applyFont="1" applyAlignment="1">
      <alignment vertical="top"/>
    </xf>
    <xf numFmtId="0" fontId="116" fillId="0" borderId="0" xfId="36" applyFont="1" applyAlignment="1">
      <alignment horizontal="left" vertical="top" indent="4"/>
    </xf>
    <xf numFmtId="0" fontId="0" fillId="0" borderId="0" xfId="0" applyFill="1" applyAlignment="1">
      <alignment vertical="top"/>
    </xf>
    <xf numFmtId="9" fontId="35" fillId="0" borderId="0" xfId="150" quotePrefix="1" applyFont="1" applyAlignment="1">
      <alignment vertical="top" wrapText="1"/>
    </xf>
    <xf numFmtId="9" fontId="85" fillId="0" borderId="0" xfId="150" applyFont="1" applyAlignment="1">
      <alignment vertical="top"/>
    </xf>
    <xf numFmtId="0" fontId="35" fillId="0" borderId="0" xfId="37" applyFont="1" applyFill="1" applyAlignment="1">
      <alignment horizontal="left" vertical="top" indent="2"/>
    </xf>
    <xf numFmtId="3" fontId="35" fillId="0" borderId="0" xfId="37" applyNumberFormat="1" applyFont="1" applyFill="1" applyAlignment="1">
      <alignment vertical="top"/>
    </xf>
    <xf numFmtId="3" fontId="35" fillId="0" borderId="0" xfId="0" applyNumberFormat="1" applyFont="1" applyFill="1" applyAlignment="1">
      <alignment vertical="top"/>
    </xf>
    <xf numFmtId="9" fontId="35" fillId="0" borderId="0" xfId="150" applyFont="1" applyFill="1" applyAlignment="1">
      <alignment vertical="top"/>
    </xf>
    <xf numFmtId="0" fontId="35" fillId="0" borderId="0" xfId="37" applyFont="1" applyFill="1" applyAlignment="1">
      <alignment horizontal="left" vertical="top" indent="1"/>
    </xf>
    <xf numFmtId="0" fontId="46" fillId="0" borderId="0" xfId="36" applyFont="1" applyAlignment="1">
      <alignment horizontal="right" vertical="top" indent="1"/>
    </xf>
    <xf numFmtId="3" fontId="107" fillId="0" borderId="0" xfId="0" applyNumberFormat="1" applyFont="1" applyAlignment="1">
      <alignment vertical="top"/>
    </xf>
    <xf numFmtId="0" fontId="35" fillId="0" borderId="19" xfId="36" applyFont="1" applyBorder="1" applyAlignment="1">
      <alignment horizontal="left" vertical="top" wrapText="1" indent="2"/>
    </xf>
    <xf numFmtId="0" fontId="54" fillId="0" borderId="0" xfId="43" applyFont="1" applyFill="1"/>
    <xf numFmtId="0" fontId="16" fillId="0" borderId="0" xfId="36" applyFont="1" applyAlignment="1">
      <alignment horizontal="left" vertical="top" wrapText="1" indent="4"/>
    </xf>
    <xf numFmtId="0" fontId="16" fillId="0" borderId="0" xfId="36" applyFont="1" applyAlignment="1">
      <alignment horizontal="left" vertical="top" indent="3"/>
    </xf>
    <xf numFmtId="9" fontId="46" fillId="0" borderId="0" xfId="150" quotePrefix="1" applyFont="1" applyFill="1" applyBorder="1" applyAlignment="1" applyProtection="1">
      <alignment vertical="top"/>
    </xf>
    <xf numFmtId="0" fontId="52" fillId="0" borderId="0" xfId="36" applyFont="1" applyFill="1" applyAlignment="1">
      <alignment horizontal="left" vertical="top" indent="4"/>
    </xf>
    <xf numFmtId="170" fontId="93" fillId="0" borderId="0" xfId="46" applyNumberFormat="1" applyFont="1"/>
    <xf numFmtId="170" fontId="47" fillId="0" borderId="0" xfId="46" applyNumberFormat="1" applyFont="1"/>
    <xf numFmtId="170" fontId="48" fillId="0" borderId="0" xfId="46" applyNumberFormat="1" applyFont="1"/>
    <xf numFmtId="170" fontId="37" fillId="0" borderId="0" xfId="46" applyNumberFormat="1" applyFont="1"/>
    <xf numFmtId="170" fontId="37" fillId="0" borderId="0" xfId="46" applyNumberFormat="1" applyFont="1" applyFill="1"/>
    <xf numFmtId="170" fontId="93" fillId="0" borderId="0" xfId="46" applyNumberFormat="1" applyFont="1" applyFill="1"/>
    <xf numFmtId="170" fontId="16" fillId="0" borderId="0" xfId="46" applyNumberFormat="1" applyFont="1" applyFill="1"/>
    <xf numFmtId="170" fontId="16" fillId="0" borderId="0" xfId="46" applyNumberFormat="1" applyFont="1"/>
    <xf numFmtId="166" fontId="0" fillId="0" borderId="0" xfId="0" applyNumberFormat="1"/>
    <xf numFmtId="0" fontId="16" fillId="0" borderId="0" xfId="0" applyFont="1" applyAlignment="1">
      <alignment horizontal="left" indent="5"/>
    </xf>
    <xf numFmtId="0" fontId="0" fillId="0" borderId="0" xfId="0" applyAlignment="1">
      <alignment horizontal="left" indent="3"/>
    </xf>
    <xf numFmtId="166" fontId="47" fillId="0" borderId="0" xfId="0" applyNumberFormat="1" applyFont="1"/>
    <xf numFmtId="170" fontId="16" fillId="0" borderId="10" xfId="150" applyNumberFormat="1" applyFont="1" applyFill="1" applyBorder="1"/>
    <xf numFmtId="0" fontId="118" fillId="0" borderId="0" xfId="36" applyFont="1" applyAlignment="1">
      <alignment horizontal="left"/>
    </xf>
    <xf numFmtId="3" fontId="118" fillId="0" borderId="0" xfId="36" applyNumberFormat="1" applyFont="1"/>
    <xf numFmtId="170" fontId="93" fillId="0" borderId="0" xfId="150" applyNumberFormat="1" applyFont="1"/>
    <xf numFmtId="0" fontId="107" fillId="0" borderId="0" xfId="36" applyFont="1" applyAlignment="1">
      <alignment horizontal="left" indent="1"/>
    </xf>
    <xf numFmtId="3" fontId="107" fillId="0" borderId="0" xfId="36" applyNumberFormat="1" applyFont="1"/>
    <xf numFmtId="0" fontId="107" fillId="0" borderId="0" xfId="36" applyFont="1" applyAlignment="1">
      <alignment horizontal="left" indent="2"/>
    </xf>
    <xf numFmtId="0" fontId="92" fillId="0" borderId="10" xfId="49" applyFont="1" applyBorder="1" applyAlignment="1">
      <alignment horizontal="left" vertical="top" wrapText="1"/>
    </xf>
    <xf numFmtId="0" fontId="92" fillId="0" borderId="10" xfId="49" applyFont="1" applyBorder="1" applyAlignment="1">
      <alignment horizontal="center" vertical="top" wrapText="1"/>
    </xf>
    <xf numFmtId="0" fontId="92" fillId="0" borderId="10" xfId="87" applyNumberFormat="1" applyFont="1" applyFill="1" applyBorder="1" applyAlignment="1">
      <alignment horizontal="center" vertical="top" wrapText="1"/>
    </xf>
    <xf numFmtId="0" fontId="117" fillId="0" borderId="0" xfId="0" applyFont="1"/>
    <xf numFmtId="0" fontId="92" fillId="30" borderId="10" xfId="151" applyFont="1" applyFill="1" applyBorder="1" applyAlignment="1" applyProtection="1">
      <alignment horizontal="left" vertical="top" wrapText="1"/>
      <protection locked="0"/>
    </xf>
    <xf numFmtId="3" fontId="92" fillId="30" borderId="10" xfId="151" applyNumberFormat="1" applyFont="1" applyFill="1" applyBorder="1" applyAlignment="1" applyProtection="1">
      <alignment vertical="top" wrapText="1"/>
      <protection locked="0"/>
    </xf>
    <xf numFmtId="0" fontId="117" fillId="0" borderId="10" xfId="151" applyFont="1" applyBorder="1" applyAlignment="1" applyProtection="1">
      <alignment horizontal="right" vertical="top" wrapText="1"/>
      <protection locked="0"/>
    </xf>
    <xf numFmtId="0" fontId="117" fillId="0" borderId="10" xfId="151" applyFont="1" applyBorder="1" applyAlignment="1" applyProtection="1">
      <alignment horizontal="left" vertical="top" wrapText="1"/>
      <protection locked="0"/>
    </xf>
    <xf numFmtId="3" fontId="117" fillId="0" borderId="10" xfId="151" applyNumberFormat="1" applyFont="1" applyBorder="1" applyAlignment="1" applyProtection="1">
      <alignment vertical="top" wrapText="1"/>
      <protection locked="0"/>
    </xf>
    <xf numFmtId="3" fontId="117" fillId="0" borderId="0" xfId="0" applyNumberFormat="1" applyFont="1"/>
    <xf numFmtId="0" fontId="117" fillId="0" borderId="17" xfId="151" applyFont="1" applyFill="1" applyBorder="1" applyAlignment="1" applyProtection="1">
      <alignment horizontal="left" vertical="top" wrapText="1"/>
      <protection locked="0"/>
    </xf>
    <xf numFmtId="164" fontId="88" fillId="36" borderId="15" xfId="87" applyFont="1" applyFill="1" applyBorder="1" applyAlignment="1">
      <alignment horizontal="center" vertical="top" wrapText="1"/>
    </xf>
    <xf numFmtId="164" fontId="88" fillId="36" borderId="16" xfId="87" applyFont="1" applyFill="1" applyBorder="1" applyAlignment="1">
      <alignment horizontal="center" vertical="top" wrapText="1"/>
    </xf>
    <xf numFmtId="164" fontId="88" fillId="35" borderId="15" xfId="87" applyFont="1" applyFill="1" applyBorder="1" applyAlignment="1">
      <alignment horizontal="center" vertical="top" wrapText="1"/>
    </xf>
    <xf numFmtId="164" fontId="88" fillId="35" borderId="16" xfId="87" applyFont="1" applyFill="1" applyBorder="1" applyAlignment="1">
      <alignment horizontal="center" vertical="top" wrapText="1"/>
    </xf>
    <xf numFmtId="0" fontId="88" fillId="29" borderId="15" xfId="87" applyNumberFormat="1" applyFont="1" applyFill="1" applyBorder="1" applyAlignment="1">
      <alignment horizontal="center" vertical="top" wrapText="1"/>
    </xf>
    <xf numFmtId="0" fontId="88" fillId="29" borderId="13" xfId="87" applyNumberFormat="1" applyFont="1" applyFill="1" applyBorder="1" applyAlignment="1">
      <alignment horizontal="center" vertical="top" wrapText="1"/>
    </xf>
    <xf numFmtId="0" fontId="88" fillId="29" borderId="16" xfId="87" applyNumberFormat="1" applyFont="1" applyFill="1" applyBorder="1" applyAlignment="1">
      <alignment horizontal="center" vertical="top" wrapText="1"/>
    </xf>
    <xf numFmtId="0" fontId="88" fillId="34" borderId="11" xfId="271" applyFont="1" applyFill="1" applyBorder="1" applyAlignment="1">
      <alignment horizontal="center" vertical="top" wrapText="1"/>
    </xf>
    <xf numFmtId="0" fontId="88" fillId="34" borderId="12" xfId="271" applyFont="1" applyFill="1" applyBorder="1" applyAlignment="1">
      <alignment horizontal="center" vertical="top" wrapText="1"/>
    </xf>
    <xf numFmtId="0" fontId="88" fillId="29" borderId="10" xfId="87" applyNumberFormat="1" applyFont="1" applyFill="1" applyBorder="1" applyAlignment="1">
      <alignment horizontal="center" vertical="top" wrapText="1"/>
    </xf>
    <xf numFmtId="0" fontId="36" fillId="0" borderId="0" xfId="0" applyFont="1" applyAlignment="1">
      <alignment horizontal="left"/>
    </xf>
    <xf numFmtId="0" fontId="77" fillId="0" borderId="0" xfId="0" applyFont="1"/>
    <xf numFmtId="9" fontId="77" fillId="0" borderId="0" xfId="150" applyFont="1"/>
    <xf numFmtId="0" fontId="88" fillId="29" borderId="15" xfId="0" applyFont="1" applyFill="1" applyBorder="1" applyAlignment="1">
      <alignment horizontal="center" vertical="top"/>
    </xf>
    <xf numFmtId="0" fontId="88" fillId="29" borderId="13" xfId="0" applyFont="1" applyFill="1" applyBorder="1" applyAlignment="1">
      <alignment horizontal="center" vertical="top"/>
    </xf>
    <xf numFmtId="0" fontId="88" fillId="29" borderId="16" xfId="0" applyFont="1" applyFill="1" applyBorder="1" applyAlignment="1">
      <alignment horizontal="center" vertical="top"/>
    </xf>
    <xf numFmtId="166" fontId="88" fillId="29" borderId="15" xfId="271" applyNumberFormat="1" applyFont="1" applyFill="1" applyBorder="1" applyAlignment="1">
      <alignment horizontal="center" vertical="top" wrapText="1"/>
    </xf>
    <xf numFmtId="166" fontId="88" fillId="29" borderId="13" xfId="271" applyNumberFormat="1" applyFont="1" applyFill="1" applyBorder="1" applyAlignment="1">
      <alignment horizontal="center" vertical="top" wrapText="1"/>
    </xf>
    <xf numFmtId="166" fontId="88" fillId="29" borderId="16" xfId="271" applyNumberFormat="1" applyFont="1" applyFill="1" applyBorder="1" applyAlignment="1">
      <alignment horizontal="center" vertical="top" wrapText="1"/>
    </xf>
    <xf numFmtId="0" fontId="88" fillId="29" borderId="10" xfId="271" applyNumberFormat="1" applyFont="1" applyFill="1" applyBorder="1" applyAlignment="1">
      <alignment horizontal="center" vertical="top" wrapText="1"/>
    </xf>
    <xf numFmtId="0" fontId="88" fillId="29" borderId="10" xfId="0" applyFont="1" applyFill="1" applyBorder="1" applyAlignment="1">
      <alignment horizontal="center" vertical="top"/>
    </xf>
  </cellXfs>
  <cellStyles count="579">
    <cellStyle name="20% - Accent1" xfId="1" builtinId="30" customBuiltin="1"/>
    <cellStyle name="20% - Accent1 2" xfId="52" xr:uid="{00000000-0005-0000-0000-000001000000}"/>
    <cellStyle name="20% - Accent1 2 2" xfId="292" xr:uid="{6C33A139-D502-4129-A7EB-864A638D4BA4}"/>
    <cellStyle name="20% - Accent1 3" xfId="157" xr:uid="{00000000-0005-0000-0000-000002000000}"/>
    <cellStyle name="20% - Accent1 3 2" xfId="432" xr:uid="{6999D7AC-3C0D-4FD3-8AA9-AA5EB7A2C0BB}"/>
    <cellStyle name="20% - Accent1 3 3" xfId="293" xr:uid="{2044A533-0E47-4098-84FF-AEE30B416CA9}"/>
    <cellStyle name="20% - Accent1 4" xfId="361" xr:uid="{3677F0A0-D5EE-428A-A4B8-AACA35264C56}"/>
    <cellStyle name="20% - Accent1 4 2" xfId="558" xr:uid="{89242D18-2A89-407F-BB9C-C150C401E8B6}"/>
    <cellStyle name="20% - Accent2" xfId="2" builtinId="34" customBuiltin="1"/>
    <cellStyle name="20% - Accent2 2" xfId="53" xr:uid="{00000000-0005-0000-0000-000004000000}"/>
    <cellStyle name="20% - Accent2 2 2" xfId="294" xr:uid="{0B6B9FBA-FEA0-4470-9F45-C8FDE9D720E0}"/>
    <cellStyle name="20% - Accent2 3" xfId="158" xr:uid="{00000000-0005-0000-0000-000005000000}"/>
    <cellStyle name="20% - Accent2 3 2" xfId="433" xr:uid="{21607EFD-6737-4B06-87A5-0DA3E12CDD5B}"/>
    <cellStyle name="20% - Accent2 3 3" xfId="295" xr:uid="{AABE900E-9893-4FDB-B467-5A5B965F32A4}"/>
    <cellStyle name="20% - Accent2 4" xfId="362" xr:uid="{78E0F0AA-7236-4A73-8859-10A8A46F1651}"/>
    <cellStyle name="20% - Accent3" xfId="3" builtinId="38" customBuiltin="1"/>
    <cellStyle name="20% - Accent3 2" xfId="54" xr:uid="{00000000-0005-0000-0000-000007000000}"/>
    <cellStyle name="20% - Accent3 2 2" xfId="296" xr:uid="{2C8B74D4-D061-4DBE-A2F6-5A542DD475C4}"/>
    <cellStyle name="20% - Accent3 3" xfId="159" xr:uid="{00000000-0005-0000-0000-000008000000}"/>
    <cellStyle name="20% - Accent3 3 2" xfId="434" xr:uid="{C5E31399-E1C7-41C6-B726-AA7B73F8F0A1}"/>
    <cellStyle name="20% - Accent3 3 3" xfId="297" xr:uid="{32456A73-0771-4A8B-974F-FC82B70E75DF}"/>
    <cellStyle name="20% - Accent3 4" xfId="363" xr:uid="{8AB9288A-CE59-479B-B227-4AACC2323001}"/>
    <cellStyle name="20% - Accent4" xfId="4" builtinId="42" customBuiltin="1"/>
    <cellStyle name="20% - Accent4 2" xfId="55" xr:uid="{00000000-0005-0000-0000-00000A000000}"/>
    <cellStyle name="20% - Accent4 2 2" xfId="298" xr:uid="{683DF7F3-FC1A-4C79-9A0A-31688CC0E0B3}"/>
    <cellStyle name="20% - Accent4 3" xfId="160" xr:uid="{00000000-0005-0000-0000-00000B000000}"/>
    <cellStyle name="20% - Accent4 3 2" xfId="435" xr:uid="{330E137F-6D4F-47B0-9FAF-61C70F02CD62}"/>
    <cellStyle name="20% - Accent4 3 3" xfId="299" xr:uid="{DCC2D8D8-3301-4287-9C1A-F79C9E343914}"/>
    <cellStyle name="20% - Accent4 4" xfId="364" xr:uid="{F99BAD0C-4074-46D2-B6F5-3CB6A9E12A49}"/>
    <cellStyle name="20% - Accent5" xfId="5" builtinId="46" customBuiltin="1"/>
    <cellStyle name="20% - Accent5 2" xfId="56" xr:uid="{00000000-0005-0000-0000-00000D000000}"/>
    <cellStyle name="20% - Accent5 2 2" xfId="300" xr:uid="{D3A1E05B-0E30-407B-9110-9867FCE0D28A}"/>
    <cellStyle name="20% - Accent5 3" xfId="161" xr:uid="{00000000-0005-0000-0000-00000E000000}"/>
    <cellStyle name="20% - Accent5 3 2" xfId="436" xr:uid="{E8F478E8-2E8D-4816-B5C6-5A54C2CCE98E}"/>
    <cellStyle name="20% - Accent5 3 3" xfId="301" xr:uid="{00E023DD-44ED-4EDA-A156-F91B6BFD834C}"/>
    <cellStyle name="20% - Accent5 4" xfId="365" xr:uid="{17774893-0D95-4E73-B474-24A65DAAAA0D}"/>
    <cellStyle name="20% - Accent6" xfId="6" builtinId="50" customBuiltin="1"/>
    <cellStyle name="20% - Accent6 2" xfId="57" xr:uid="{00000000-0005-0000-0000-000010000000}"/>
    <cellStyle name="20% - Accent6 2 2" xfId="302" xr:uid="{4E22EF29-0440-4CE1-A331-F747708901E8}"/>
    <cellStyle name="20% - Accent6 3" xfId="162" xr:uid="{00000000-0005-0000-0000-000011000000}"/>
    <cellStyle name="20% - Accent6 3 2" xfId="437" xr:uid="{1AD05D12-7F8F-4360-A8F7-745BDC38D08A}"/>
    <cellStyle name="20% - Accent6 3 3" xfId="303" xr:uid="{445DF7C3-2D05-4BCE-AC38-AFAAC373FF0C}"/>
    <cellStyle name="20% - Accent6 4" xfId="366" xr:uid="{C6ABC279-77C0-4E00-B7B0-3316FD820BC3}"/>
    <cellStyle name="40% - Accent1" xfId="7" builtinId="31" customBuiltin="1"/>
    <cellStyle name="40% - Accent1 2" xfId="58" xr:uid="{00000000-0005-0000-0000-000013000000}"/>
    <cellStyle name="40% - Accent1 2 2" xfId="304" xr:uid="{4C35FB8D-D49A-4CEE-B1AD-29BA695877BE}"/>
    <cellStyle name="40% - Accent1 3" xfId="163" xr:uid="{00000000-0005-0000-0000-000014000000}"/>
    <cellStyle name="40% - Accent1 3 2" xfId="438" xr:uid="{4A313AA4-716D-4278-8BC1-B52994A4D0BD}"/>
    <cellStyle name="40% - Accent1 3 3" xfId="305" xr:uid="{26F4EA28-DBD0-407C-9637-9FD0CAA1B073}"/>
    <cellStyle name="40% - Accent1 4" xfId="367" xr:uid="{0699323A-7DE5-4D1E-A4FF-4094CE69C805}"/>
    <cellStyle name="40% - Accent2" xfId="8" builtinId="35" customBuiltin="1"/>
    <cellStyle name="40% - Accent2 2" xfId="59" xr:uid="{00000000-0005-0000-0000-000016000000}"/>
    <cellStyle name="40% - Accent2 2 2" xfId="306" xr:uid="{3DAF42BA-0BAF-4F44-A48D-1D9FC5FF24FC}"/>
    <cellStyle name="40% - Accent2 3" xfId="164" xr:uid="{00000000-0005-0000-0000-000017000000}"/>
    <cellStyle name="40% - Accent2 3 2" xfId="439" xr:uid="{4B1406C2-FBD5-4750-9847-1F2A163B4FBF}"/>
    <cellStyle name="40% - Accent2 3 3" xfId="307" xr:uid="{B0B6D7CC-8F69-41B8-88B2-D12F1B0B0B30}"/>
    <cellStyle name="40% - Accent2 4" xfId="368" xr:uid="{510021E3-6477-42E3-9E5F-4644DB34CC07}"/>
    <cellStyle name="40% - Accent3" xfId="9" builtinId="39" customBuiltin="1"/>
    <cellStyle name="40% - Accent3 2" xfId="60" xr:uid="{00000000-0005-0000-0000-000019000000}"/>
    <cellStyle name="40% - Accent3 2 2" xfId="308" xr:uid="{CB999D34-CC05-4C43-A442-164FAF9738D4}"/>
    <cellStyle name="40% - Accent3 3" xfId="165" xr:uid="{00000000-0005-0000-0000-00001A000000}"/>
    <cellStyle name="40% - Accent3 3 2" xfId="440" xr:uid="{F26DB9CF-8A26-42EA-851B-288FE4BAB735}"/>
    <cellStyle name="40% - Accent3 3 3" xfId="309" xr:uid="{21A8BB92-D82B-4AAA-956B-813F839B3FCB}"/>
    <cellStyle name="40% - Accent3 4" xfId="369" xr:uid="{19374DA8-070E-4521-A603-53239E83F615}"/>
    <cellStyle name="40% - Accent4" xfId="10" builtinId="43" customBuiltin="1"/>
    <cellStyle name="40% - Accent4 2" xfId="61" xr:uid="{00000000-0005-0000-0000-00001C000000}"/>
    <cellStyle name="40% - Accent4 2 2" xfId="310" xr:uid="{92C56B38-0024-4AA6-B488-7F850FB3D495}"/>
    <cellStyle name="40% - Accent4 3" xfId="166" xr:uid="{00000000-0005-0000-0000-00001D000000}"/>
    <cellStyle name="40% - Accent4 3 2" xfId="441" xr:uid="{AC1B2EAB-34D4-4E77-8773-C03A7327C865}"/>
    <cellStyle name="40% - Accent4 3 3" xfId="311" xr:uid="{7F0C56B0-0533-42E9-85EB-B0F151E30609}"/>
    <cellStyle name="40% - Accent4 4" xfId="370" xr:uid="{CC31A483-D7A6-4AED-B67E-C5A9AACFE17D}"/>
    <cellStyle name="40% - Accent5" xfId="11" builtinId="47" customBuiltin="1"/>
    <cellStyle name="40% - Accent5 2" xfId="62" xr:uid="{00000000-0005-0000-0000-00001F000000}"/>
    <cellStyle name="40% - Accent5 2 2" xfId="312" xr:uid="{C7B3ABDB-F1F5-431B-9547-C64DE06AD0D3}"/>
    <cellStyle name="40% - Accent5 3" xfId="167" xr:uid="{00000000-0005-0000-0000-000020000000}"/>
    <cellStyle name="40% - Accent5 3 2" xfId="442" xr:uid="{EB48EB4F-C19E-428B-8550-1E2F21FBD7F3}"/>
    <cellStyle name="40% - Accent5 3 3" xfId="313" xr:uid="{32E4BDF8-3C53-497B-9FE2-051C5584015F}"/>
    <cellStyle name="40% - Accent5 4" xfId="371" xr:uid="{55BFFA60-908B-458D-AC3D-74F7B485B81E}"/>
    <cellStyle name="40% - Accent6" xfId="12" builtinId="51" customBuiltin="1"/>
    <cellStyle name="40% - Accent6 2" xfId="63" xr:uid="{00000000-0005-0000-0000-000022000000}"/>
    <cellStyle name="40% - Accent6 2 2" xfId="314" xr:uid="{2DDF7C8F-AAF3-42CE-9147-DBCFD80E798F}"/>
    <cellStyle name="40% - Accent6 3" xfId="168" xr:uid="{00000000-0005-0000-0000-000023000000}"/>
    <cellStyle name="40% - Accent6 3 2" xfId="443" xr:uid="{FC048098-E3A7-4CA6-B364-9264B22D83C8}"/>
    <cellStyle name="40% - Accent6 3 3" xfId="315" xr:uid="{794A0D3F-9A72-4EA3-9940-4393A540879B}"/>
    <cellStyle name="40% - Accent6 4" xfId="372" xr:uid="{605A68B5-EB51-417D-9686-048F4D24038D}"/>
    <cellStyle name="60% - Accent1" xfId="13" builtinId="32" customBuiltin="1"/>
    <cellStyle name="60% - Accent1 2" xfId="64" xr:uid="{00000000-0005-0000-0000-000025000000}"/>
    <cellStyle name="60% - Accent1 3" xfId="169" xr:uid="{00000000-0005-0000-0000-000026000000}"/>
    <cellStyle name="60% - Accent1 4" xfId="373" xr:uid="{12697C0B-B48A-4A20-A3B6-50AC64ED8F06}"/>
    <cellStyle name="60% - Accent2" xfId="14" builtinId="36" customBuiltin="1"/>
    <cellStyle name="60% - Accent2 2" xfId="65" xr:uid="{00000000-0005-0000-0000-000028000000}"/>
    <cellStyle name="60% - Accent2 3" xfId="170" xr:uid="{00000000-0005-0000-0000-000029000000}"/>
    <cellStyle name="60% - Accent2 4" xfId="374" xr:uid="{02FAE749-8EF5-4B0E-B5F2-7731A5C39778}"/>
    <cellStyle name="60% - Accent3" xfId="15" builtinId="40" customBuiltin="1"/>
    <cellStyle name="60% - Accent3 2" xfId="66" xr:uid="{00000000-0005-0000-0000-00002B000000}"/>
    <cellStyle name="60% - Accent3 3" xfId="171" xr:uid="{00000000-0005-0000-0000-00002C000000}"/>
    <cellStyle name="60% - Accent3 4" xfId="375" xr:uid="{97AA2EF9-666A-4976-96C5-C5383A05D546}"/>
    <cellStyle name="60% - Accent4" xfId="16" builtinId="44" customBuiltin="1"/>
    <cellStyle name="60% - Accent4 2" xfId="67" xr:uid="{00000000-0005-0000-0000-00002E000000}"/>
    <cellStyle name="60% - Accent4 3" xfId="172" xr:uid="{00000000-0005-0000-0000-00002F000000}"/>
    <cellStyle name="60% - Accent4 4" xfId="376" xr:uid="{CC44C443-EDE3-44EB-866F-FF8551B7D44D}"/>
    <cellStyle name="60% - Accent5" xfId="17" builtinId="48" customBuiltin="1"/>
    <cellStyle name="60% - Accent5 2" xfId="68" xr:uid="{00000000-0005-0000-0000-000031000000}"/>
    <cellStyle name="60% - Accent5 3" xfId="173" xr:uid="{00000000-0005-0000-0000-000032000000}"/>
    <cellStyle name="60% - Accent5 4" xfId="377" xr:uid="{93D9DD36-DD2D-4877-A009-2C02261C26DD}"/>
    <cellStyle name="60% - Accent6" xfId="18" builtinId="52" customBuiltin="1"/>
    <cellStyle name="60% - Accent6 2" xfId="69" xr:uid="{00000000-0005-0000-0000-000034000000}"/>
    <cellStyle name="60% - Accent6 3" xfId="174" xr:uid="{00000000-0005-0000-0000-000035000000}"/>
    <cellStyle name="60% - Accent6 4" xfId="378" xr:uid="{4618868E-E50F-41EB-9A26-0C98785AA62D}"/>
    <cellStyle name="Accent1" xfId="19" builtinId="29" customBuiltin="1"/>
    <cellStyle name="Accent1 2" xfId="70" xr:uid="{00000000-0005-0000-0000-000037000000}"/>
    <cellStyle name="Accent1 3" xfId="175" xr:uid="{00000000-0005-0000-0000-000038000000}"/>
    <cellStyle name="Accent1 4" xfId="379" xr:uid="{9228F813-FBF8-4057-9EEC-BF5865854B86}"/>
    <cellStyle name="Accent2" xfId="20" builtinId="33" customBuiltin="1"/>
    <cellStyle name="Accent2 2" xfId="71" xr:uid="{00000000-0005-0000-0000-00003A000000}"/>
    <cellStyle name="Accent2 3" xfId="176" xr:uid="{00000000-0005-0000-0000-00003B000000}"/>
    <cellStyle name="Accent2 4" xfId="380" xr:uid="{AE6E55E0-3D3C-495C-AFDD-9ACF9DBD38B4}"/>
    <cellStyle name="Accent3" xfId="21" builtinId="37" customBuiltin="1"/>
    <cellStyle name="Accent3 2" xfId="72" xr:uid="{00000000-0005-0000-0000-00003D000000}"/>
    <cellStyle name="Accent3 3" xfId="177" xr:uid="{00000000-0005-0000-0000-00003E000000}"/>
    <cellStyle name="Accent3 4" xfId="381" xr:uid="{575A1ADC-42B8-43BF-B31F-3B69D346F31E}"/>
    <cellStyle name="Accent4" xfId="22" builtinId="41" customBuiltin="1"/>
    <cellStyle name="Accent4 2" xfId="73" xr:uid="{00000000-0005-0000-0000-000040000000}"/>
    <cellStyle name="Accent4 3" xfId="178" xr:uid="{00000000-0005-0000-0000-000041000000}"/>
    <cellStyle name="Accent4 4" xfId="382" xr:uid="{8349DA83-B191-4419-8A04-278FE5276E4A}"/>
    <cellStyle name="Accent5" xfId="47" builtinId="45" customBuiltin="1"/>
    <cellStyle name="Accent5 2" xfId="74" xr:uid="{00000000-0005-0000-0000-000043000000}"/>
    <cellStyle name="Accent5 3" xfId="179" xr:uid="{00000000-0005-0000-0000-000044000000}"/>
    <cellStyle name="Accent6" xfId="48" builtinId="49" customBuiltin="1"/>
    <cellStyle name="Accent6 2" xfId="75" xr:uid="{00000000-0005-0000-0000-000046000000}"/>
    <cellStyle name="Accent6 3" xfId="180" xr:uid="{00000000-0005-0000-0000-000047000000}"/>
    <cellStyle name="Bad" xfId="23" builtinId="27" customBuiltin="1"/>
    <cellStyle name="Bad 2" xfId="76" xr:uid="{00000000-0005-0000-0000-000049000000}"/>
    <cellStyle name="Bad 3" xfId="181" xr:uid="{00000000-0005-0000-0000-00004A000000}"/>
    <cellStyle name="Bad 3 2" xfId="557" xr:uid="{9A21DED8-4C14-44D2-B943-7B7D0208456C}"/>
    <cellStyle name="Bad 4" xfId="383" xr:uid="{6C0DE98A-B5BD-4B3B-92B5-DE8BAA26B9A9}"/>
    <cellStyle name="Calculation" xfId="24" builtinId="22" customBuiltin="1"/>
    <cellStyle name="Calculation 2" xfId="77" xr:uid="{00000000-0005-0000-0000-00004C000000}"/>
    <cellStyle name="Calculation 2 2" xfId="511" xr:uid="{09C0A7FE-212C-4902-827C-50488E434D3F}"/>
    <cellStyle name="Calculation 2 2 2" xfId="567" xr:uid="{19DF0CBF-9D15-4FBC-83D1-0446B012EA4F}"/>
    <cellStyle name="Calculation 2 3" xfId="543" xr:uid="{88E30619-7399-4AFB-8549-E713A0B73335}"/>
    <cellStyle name="Calculation 3" xfId="182" xr:uid="{00000000-0005-0000-0000-00004D000000}"/>
    <cellStyle name="Calculation 3 2" xfId="522" xr:uid="{C2E5632F-F019-45E3-9D02-07412792DBAF}"/>
    <cellStyle name="Calculation 3 2 2" xfId="575" xr:uid="{050996D3-6BA1-407A-B18B-9A9117DE3E6C}"/>
    <cellStyle name="Calculation 3 3" xfId="540" xr:uid="{EC68A2E4-A922-403F-A2C5-D8EE3D3E1908}"/>
    <cellStyle name="Calculation 4" xfId="384" xr:uid="{F63222DA-7955-401C-945A-EE15A82861CB}"/>
    <cellStyle name="Calculation 4 2" xfId="518" xr:uid="{617C5DC7-99B4-433A-BDC6-9AB6D728DE35}"/>
    <cellStyle name="Calculation 4 2 2" xfId="571" xr:uid="{608BF6FC-58A8-4128-B5E7-47BF4FFA8DDF}"/>
    <cellStyle name="Calculation 4 3" xfId="563" xr:uid="{5C42601D-D064-499F-9AEE-377D296A1F77}"/>
    <cellStyle name="Calculation 5" xfId="541" xr:uid="{C533997D-2FFE-48E4-A28A-897C223D21F5}"/>
    <cellStyle name="Check Cell" xfId="25" builtinId="23" customBuiltin="1"/>
    <cellStyle name="Check Cell 2" xfId="78" xr:uid="{00000000-0005-0000-0000-00004F000000}"/>
    <cellStyle name="Check Cell 3" xfId="183" xr:uid="{00000000-0005-0000-0000-000050000000}"/>
    <cellStyle name="Check Cell 4" xfId="385" xr:uid="{A9BA11F6-8E38-4091-80C1-507AF5A0667B}"/>
    <cellStyle name="Comma 2" xfId="79" xr:uid="{00000000-0005-0000-0000-000051000000}"/>
    <cellStyle name="Comma 2 2" xfId="80" xr:uid="{00000000-0005-0000-0000-000052000000}"/>
    <cellStyle name="Comma 2 3" xfId="81" xr:uid="{00000000-0005-0000-0000-000053000000}"/>
    <cellStyle name="Comma 2 4" xfId="82" xr:uid="{00000000-0005-0000-0000-000054000000}"/>
    <cellStyle name="Comma 2 5" xfId="83" xr:uid="{00000000-0005-0000-0000-000055000000}"/>
    <cellStyle name="Comma 2 6" xfId="84" xr:uid="{00000000-0005-0000-0000-000056000000}"/>
    <cellStyle name="Comma 3" xfId="85" xr:uid="{00000000-0005-0000-0000-000057000000}"/>
    <cellStyle name="Comma 4" xfId="86" xr:uid="{00000000-0005-0000-0000-000058000000}"/>
    <cellStyle name="Currency 2" xfId="87" xr:uid="{00000000-0005-0000-0000-000059000000}"/>
    <cellStyle name="Excel Built-in Normal" xfId="316" xr:uid="{82AD0099-8A2F-439B-BD66-7296CD68BAEB}"/>
    <cellStyle name="Explanatory Text" xfId="26" builtinId="53" customBuiltin="1"/>
    <cellStyle name="Explanatory Text 2" xfId="88" xr:uid="{00000000-0005-0000-0000-00005B000000}"/>
    <cellStyle name="Explanatory Text 3" xfId="184" xr:uid="{00000000-0005-0000-0000-00005C000000}"/>
    <cellStyle name="Explanatory Text 4" xfId="386" xr:uid="{35E51BD3-4F3A-4CDE-B5DF-F4A21247D6BA}"/>
    <cellStyle name="Good" xfId="44" builtinId="26" customBuiltin="1"/>
    <cellStyle name="Good 2" xfId="89" xr:uid="{00000000-0005-0000-0000-00005E000000}"/>
    <cellStyle name="Good 3" xfId="185" xr:uid="{00000000-0005-0000-0000-00005F000000}"/>
    <cellStyle name="Good 4" xfId="556" xr:uid="{CC9B7116-5ADD-4399-8F2E-8F94366E6A75}"/>
    <cellStyle name="Hea 2" xfId="90" xr:uid="{00000000-0005-0000-0000-000060000000}"/>
    <cellStyle name="Hea 3" xfId="198" xr:uid="{00000000-0005-0000-0000-000061000000}"/>
    <cellStyle name="Heading 1" xfId="27" builtinId="16" customBuiltin="1"/>
    <cellStyle name="Heading 1 2" xfId="91" xr:uid="{00000000-0005-0000-0000-000063000000}"/>
    <cellStyle name="Heading 1 3" xfId="186" xr:uid="{00000000-0005-0000-0000-000064000000}"/>
    <cellStyle name="Heading 1 4" xfId="387" xr:uid="{708D01C8-B3A9-4977-9F52-6D0C3E1AD4E9}"/>
    <cellStyle name="Heading 2" xfId="28" builtinId="17" customBuiltin="1"/>
    <cellStyle name="Heading 2 2" xfId="92" xr:uid="{00000000-0005-0000-0000-000066000000}"/>
    <cellStyle name="Heading 2 3" xfId="187" xr:uid="{00000000-0005-0000-0000-000067000000}"/>
    <cellStyle name="Heading 2 4" xfId="388" xr:uid="{8EA2B1F8-91B5-49C2-AAFC-F11745B6D421}"/>
    <cellStyle name="Heading 3" xfId="29" builtinId="18" customBuiltin="1"/>
    <cellStyle name="Heading 3 2" xfId="93" xr:uid="{00000000-0005-0000-0000-000069000000}"/>
    <cellStyle name="Heading 3 3" xfId="188" xr:uid="{00000000-0005-0000-0000-00006A000000}"/>
    <cellStyle name="Heading 3 4" xfId="389" xr:uid="{9E09D36D-8E22-4CA2-B3E8-667F65770A01}"/>
    <cellStyle name="Heading 4" xfId="30" builtinId="19" customBuiltin="1"/>
    <cellStyle name="Heading 4 2" xfId="94" xr:uid="{00000000-0005-0000-0000-00006C000000}"/>
    <cellStyle name="Heading 4 3" xfId="189" xr:uid="{00000000-0005-0000-0000-00006D000000}"/>
    <cellStyle name="Heading 4 4" xfId="390" xr:uid="{EF9143ED-12CD-4FF7-BBAC-770E73355B46}"/>
    <cellStyle name="Hoiatustekst" xfId="317" xr:uid="{9FF65409-D509-4F5B-926A-91C99A303204}"/>
    <cellStyle name="Hyperlink 2" xfId="45" xr:uid="{00000000-0005-0000-0000-00006E000000}"/>
    <cellStyle name="Hyperlink 2 2" xfId="95" xr:uid="{00000000-0005-0000-0000-00006F000000}"/>
    <cellStyle name="Hyperlink 3" xfId="318" xr:uid="{84E3DFE3-201C-4631-9C18-F8E496FFD509}"/>
    <cellStyle name="Hyperlink_Lisad 22.02.11 II" xfId="31" xr:uid="{00000000-0005-0000-0000-000070000000}"/>
    <cellStyle name="Input" xfId="32" builtinId="20" customBuiltin="1"/>
    <cellStyle name="Input 2" xfId="96" xr:uid="{00000000-0005-0000-0000-000072000000}"/>
    <cellStyle name="Input 2 2" xfId="512" xr:uid="{E69E72F3-F491-4F73-89EC-36AC9CA4F495}"/>
    <cellStyle name="Input 2 2 2" xfId="568" xr:uid="{46E8A032-02CB-4F55-88AD-5616063FD84D}"/>
    <cellStyle name="Input 2 3" xfId="544" xr:uid="{3BFCF9F8-33A8-4C4E-8ACA-61A36054BB87}"/>
    <cellStyle name="Input 3" xfId="190" xr:uid="{00000000-0005-0000-0000-000073000000}"/>
    <cellStyle name="Input 3 2" xfId="523" xr:uid="{B03A2294-7189-431C-9AF2-868FFC8BEF96}"/>
    <cellStyle name="Input 3 2 2" xfId="576" xr:uid="{87A81598-341F-4540-B17B-AF55CDBB84BF}"/>
    <cellStyle name="Input 3 3" xfId="539" xr:uid="{891CD766-6163-45C8-8BE9-450584367C15}"/>
    <cellStyle name="Input 4" xfId="391" xr:uid="{5A07D1D0-2847-4666-8914-4F28175D8899}"/>
    <cellStyle name="Input 4 2" xfId="519" xr:uid="{8C52EB8D-7D69-448E-BB95-8FE989A71BDA}"/>
    <cellStyle name="Input 4 2 2" xfId="572" xr:uid="{90F5EDF5-DF47-4DC3-9454-F18694A36372}"/>
    <cellStyle name="Input 4 3" xfId="564" xr:uid="{37515B46-E739-4265-9733-B1CC1E4111AE}"/>
    <cellStyle name="Input 5" xfId="548" xr:uid="{657455A8-1349-4249-A010-7330781E809B}"/>
    <cellStyle name="Linked Cell" xfId="33" builtinId="24" customBuiltin="1"/>
    <cellStyle name="Linked Cell 2" xfId="97" xr:uid="{00000000-0005-0000-0000-000075000000}"/>
    <cellStyle name="Linked Cell 3" xfId="191" xr:uid="{00000000-0005-0000-0000-000076000000}"/>
    <cellStyle name="Linked Cell 4" xfId="392" xr:uid="{344B1EA2-2689-4028-BCAD-F90CD4A0AEE6}"/>
    <cellStyle name="Neutral" xfId="34" builtinId="28" customBuiltin="1"/>
    <cellStyle name="Neutral 2" xfId="98" xr:uid="{00000000-0005-0000-0000-000078000000}"/>
    <cellStyle name="Neutral 3" xfId="192" xr:uid="{00000000-0005-0000-0000-000079000000}"/>
    <cellStyle name="Neutral 4" xfId="393" xr:uid="{7D80A115-4EFD-4025-98F5-67F5300FE8B6}"/>
    <cellStyle name="Normaallaad 2" xfId="149" xr:uid="{00000000-0005-0000-0000-00007A000000}"/>
    <cellStyle name="Normaallaad 2 2" xfId="319" xr:uid="{DD23875D-345F-41E1-BFF6-73FCF1EA0213}"/>
    <cellStyle name="Normaallaad 3" xfId="156" xr:uid="{00000000-0005-0000-0000-00007B000000}"/>
    <cellStyle name="Normaallaad 3 2" xfId="273" xr:uid="{00000000-0005-0000-0000-00007C000000}"/>
    <cellStyle name="Normaallaad 3 2 2" xfId="431" xr:uid="{F4357FD3-8C81-4D0A-879E-96E84435A6B1}"/>
    <cellStyle name="Normaallaad 3 3" xfId="320" xr:uid="{CBF21158-E24F-4274-AFA3-F98E9BDFF5F5}"/>
    <cellStyle name="Normaallaad 4" xfId="321" xr:uid="{47E1FFA8-F156-4DD8-8050-2C10EDAF866F}"/>
    <cellStyle name="Normaallaad 4 2" xfId="322" xr:uid="{035DF96E-37CD-4B89-A686-36154F19D5D4}"/>
    <cellStyle name="Normaallaad 5" xfId="323" xr:uid="{FD608592-2B5E-4B4A-AEA4-589D7FA1593C}"/>
    <cellStyle name="Normaallaad 6" xfId="324" xr:uid="{A44D4CC0-E89C-4673-B43A-A14300C5C52D}"/>
    <cellStyle name="Normaallaad 7" xfId="325" xr:uid="{F8FD9703-7612-4E66-B8DB-2351EDB54329}"/>
    <cellStyle name="Normaallaad 8" xfId="288" xr:uid="{30097866-0D65-4406-8C3D-D46EF9ECA545}"/>
    <cellStyle name="Normaallaad 9" xfId="285" xr:uid="{FC5CA0DA-52D6-4A45-A5A5-6EAB61E0CD08}"/>
    <cellStyle name="Normal" xfId="0" builtinId="0"/>
    <cellStyle name="Normal 10" xfId="146" xr:uid="{00000000-0005-0000-0000-00007E000000}"/>
    <cellStyle name="Normal 10 2" xfId="229" xr:uid="{00000000-0005-0000-0000-00007F000000}"/>
    <cellStyle name="Normal 10 2 2" xfId="472" xr:uid="{61A506FD-C325-47C5-A134-D1574E96ABE6}"/>
    <cellStyle name="Normal 10 3" xfId="263" xr:uid="{00000000-0005-0000-0000-000080000000}"/>
    <cellStyle name="Normal 10 3 2" xfId="506" xr:uid="{F33088F6-3796-4D4A-8748-ACE4FCF99132}"/>
    <cellStyle name="Normal 10 4" xfId="425" xr:uid="{4846535F-9EF8-4992-BF88-6D5CE0789A2C}"/>
    <cellStyle name="Normal 10 5" xfId="326" xr:uid="{08B90909-8D59-40F9-83BE-25FDD55114F8}"/>
    <cellStyle name="Normal 11" xfId="147" xr:uid="{00000000-0005-0000-0000-000081000000}"/>
    <cellStyle name="Normal 11 2" xfId="230" xr:uid="{00000000-0005-0000-0000-000082000000}"/>
    <cellStyle name="Normal 11 2 2" xfId="473" xr:uid="{D0F273DC-42DE-4463-8CB6-9F840CF4F262}"/>
    <cellStyle name="Normal 11 3" xfId="264" xr:uid="{00000000-0005-0000-0000-000083000000}"/>
    <cellStyle name="Normal 11 3 2" xfId="507" xr:uid="{A518CD54-9C4A-4F53-941A-F17079F6546B}"/>
    <cellStyle name="Normal 11 4" xfId="426" xr:uid="{2C1180B2-EDE3-4364-BE2C-1F24E7AEA671}"/>
    <cellStyle name="Normal 11 5" xfId="327" xr:uid="{080D7F36-2E20-43ED-ACD5-A78372F6DFD8}"/>
    <cellStyle name="Normal 12" xfId="151" xr:uid="{00000000-0005-0000-0000-000084000000}"/>
    <cellStyle name="Normal 12 2" xfId="427" xr:uid="{8F63659F-A993-41DE-8344-B256ADE4DFB9}"/>
    <cellStyle name="Normal 12 3" xfId="328" xr:uid="{343338B6-81AE-4879-8F77-746501F38F97}"/>
    <cellStyle name="Normal 13" xfId="268" xr:uid="{00000000-0005-0000-0000-000085000000}"/>
    <cellStyle name="Normal 13 2" xfId="148" xr:uid="{00000000-0005-0000-0000-000086000000}"/>
    <cellStyle name="Normal 13 2 2" xfId="530" xr:uid="{FBD119B5-FA54-444A-BE7D-F17FFE1AD77D}"/>
    <cellStyle name="Normal 13 2 2 2" xfId="536" xr:uid="{7C89BE36-4020-456E-9866-B26D336BF001}"/>
    <cellStyle name="Normal 13 3" xfId="283" xr:uid="{72CFEA03-F1EB-4E8C-A728-A6C4CF06A2F1}"/>
    <cellStyle name="Normal 13 4" xfId="291" xr:uid="{135A1AE5-5C40-4513-9D03-99AF01A28A83}"/>
    <cellStyle name="Normal 14" xfId="282" xr:uid="{94A17849-0D20-4078-9B0A-E707D6A795C5}"/>
    <cellStyle name="Normal 14 2" xfId="233" xr:uid="{00000000-0005-0000-0000-000087000000}"/>
    <cellStyle name="Normal 14 2 2" xfId="476" xr:uid="{109C10DD-CBF6-4442-9C86-CC45EFF134E6}"/>
    <cellStyle name="Normal 14 2 3" xfId="266" xr:uid="{00000000-0005-0000-0000-000088000000}"/>
    <cellStyle name="Normal 14 2 3 2" xfId="270" xr:uid="{00000000-0005-0000-0000-000089000000}"/>
    <cellStyle name="Normal 14 2 3 2 2" xfId="509" xr:uid="{00B21F60-6EE7-46C1-9FA6-51410D8E4F32}"/>
    <cellStyle name="Normal 14 2 3 3" xfId="287" xr:uid="{6C95829B-36AE-4BCB-93DE-F17F459ABB21}"/>
    <cellStyle name="Normal 14 2 3 3 3 2 2" xfId="562" xr:uid="{0CDD56FA-0394-4DF8-B4E9-FA4675DDFE5B}"/>
    <cellStyle name="Normal 14 2 3 3 3 2 4" xfId="561" xr:uid="{C873B224-F6FC-4D52-9BA1-73B9068E7A96}"/>
    <cellStyle name="Normal 14 3" xfId="329" xr:uid="{77E143E3-4EC0-4E20-BFD8-507FFF9FE2E1}"/>
    <cellStyle name="Normal 15" xfId="289" xr:uid="{8A0722DA-58C6-4912-9A20-3E3A6128C923}"/>
    <cellStyle name="Normal 16" xfId="360" xr:uid="{49B87E7A-428E-4B69-BB1B-3345C036B457}"/>
    <cellStyle name="Normal 16 2" xfId="527" xr:uid="{BA369757-14AC-4403-8AAB-7AC6DBC7334C}"/>
    <cellStyle name="Normal 17" xfId="528" xr:uid="{89DCC011-ECC9-4451-9741-DA2AD6E5BB3D}"/>
    <cellStyle name="Normal 18" xfId="534" xr:uid="{D454CC25-05A4-48E9-9BF5-24EE185A2321}"/>
    <cellStyle name="Normal 19" xfId="284" xr:uid="{0D4F38AC-6393-413B-850A-EFE3E9B2C623}"/>
    <cellStyle name="Normal 2" xfId="43" xr:uid="{00000000-0005-0000-0000-00008A000000}"/>
    <cellStyle name="Normal 2 2" xfId="49" xr:uid="{00000000-0005-0000-0000-00008B000000}"/>
    <cellStyle name="Normal 2 3" xfId="99" xr:uid="{00000000-0005-0000-0000-00008C000000}"/>
    <cellStyle name="Normal 2 3 2" xfId="100" xr:uid="{00000000-0005-0000-0000-00008D000000}"/>
    <cellStyle name="Normal 2 4" xfId="101" xr:uid="{00000000-0005-0000-0000-00008E000000}"/>
    <cellStyle name="Normal 2 4 2" xfId="102" xr:uid="{00000000-0005-0000-0000-00008F000000}"/>
    <cellStyle name="Normal 2 4 2 2" xfId="202" xr:uid="{00000000-0005-0000-0000-000090000000}"/>
    <cellStyle name="Normal 2 4 2 2 2" xfId="445" xr:uid="{A716CD9C-EF86-44C5-8FC0-13B5CCA33DED}"/>
    <cellStyle name="Normal 2 4 2 3" xfId="237" xr:uid="{00000000-0005-0000-0000-000091000000}"/>
    <cellStyle name="Normal 2 4 2 3 2" xfId="480" xr:uid="{FDBA9A53-5B3D-4857-8A77-258D67994D7D}"/>
    <cellStyle name="Normal 2 4 2 4" xfId="398" xr:uid="{85EB4503-F710-4714-BDE7-788803879E3A}"/>
    <cellStyle name="Normal 2 4 2 5" xfId="331" xr:uid="{7FBA6148-985A-40F8-8DD5-AC4857833755}"/>
    <cellStyle name="Normal 2 4 3" xfId="201" xr:uid="{00000000-0005-0000-0000-000092000000}"/>
    <cellStyle name="Normal 2 4 3 2" xfId="444" xr:uid="{25F697A1-959A-4A28-904C-F18750988D87}"/>
    <cellStyle name="Normal 2 4 4" xfId="236" xr:uid="{00000000-0005-0000-0000-000093000000}"/>
    <cellStyle name="Normal 2 4 4 2" xfId="479" xr:uid="{80D5C089-911C-4F18-92FB-E6BDAAECE9A3}"/>
    <cellStyle name="Normal 2 4 5" xfId="397" xr:uid="{49B1CA47-6D95-4241-A933-635ECAB72ED1}"/>
    <cellStyle name="Normal 2 4 6" xfId="330" xr:uid="{7C84BB7A-6943-41CF-BF31-1BAB5BBE6FA3}"/>
    <cellStyle name="Normal 2 5" xfId="103" xr:uid="{00000000-0005-0000-0000-000094000000}"/>
    <cellStyle name="Normal 2 6" xfId="104" xr:uid="{00000000-0005-0000-0000-000095000000}"/>
    <cellStyle name="Normal 2 8" xfId="232" xr:uid="{00000000-0005-0000-0000-000096000000}"/>
    <cellStyle name="Normal 2 8 2" xfId="475" xr:uid="{B24822C4-816B-409E-A91B-DA92267CEE06}"/>
    <cellStyle name="Normal 3" xfId="50" xr:uid="{00000000-0005-0000-0000-000097000000}"/>
    <cellStyle name="Normal 3 10" xfId="105" xr:uid="{00000000-0005-0000-0000-000098000000}"/>
    <cellStyle name="Normal 3 10 2" xfId="106" xr:uid="{00000000-0005-0000-0000-000099000000}"/>
    <cellStyle name="Normal 3 10 2 2" xfId="204" xr:uid="{00000000-0005-0000-0000-00009A000000}"/>
    <cellStyle name="Normal 3 10 2 2 2" xfId="447" xr:uid="{B6D169D1-A3C2-439D-8978-2E590139D4BF}"/>
    <cellStyle name="Normal 3 10 2 3" xfId="239" xr:uid="{00000000-0005-0000-0000-00009B000000}"/>
    <cellStyle name="Normal 3 10 2 3 2" xfId="482" xr:uid="{23498A6D-563D-4B15-9B71-FDB9D910D200}"/>
    <cellStyle name="Normal 3 10 2 4" xfId="400" xr:uid="{8744DD55-5281-4E8A-9705-2B1FEE712463}"/>
    <cellStyle name="Normal 3 10 2 5" xfId="333" xr:uid="{91DBD6CA-F56A-4074-BD52-DA216A8CFFEE}"/>
    <cellStyle name="Normal 3 10 3" xfId="203" xr:uid="{00000000-0005-0000-0000-00009C000000}"/>
    <cellStyle name="Normal 3 10 3 2" xfId="446" xr:uid="{9B7837E0-DB8C-4126-A8BF-A466F402F433}"/>
    <cellStyle name="Normal 3 10 4" xfId="238" xr:uid="{00000000-0005-0000-0000-00009D000000}"/>
    <cellStyle name="Normal 3 10 4 2" xfId="481" xr:uid="{AB50D568-F77D-452E-B609-E76CD9D6D182}"/>
    <cellStyle name="Normal 3 10 5" xfId="399" xr:uid="{67B1A32B-D816-4A53-98CE-1C5CDDC71ADF}"/>
    <cellStyle name="Normal 3 10 6" xfId="332" xr:uid="{F9E96EC2-F27C-489F-BC7F-7B15CE3F9C9D}"/>
    <cellStyle name="Normal 3 11" xfId="107" xr:uid="{00000000-0005-0000-0000-00009E000000}"/>
    <cellStyle name="Normal 3 11 2" xfId="108" xr:uid="{00000000-0005-0000-0000-00009F000000}"/>
    <cellStyle name="Normal 3 11 2 2" xfId="206" xr:uid="{00000000-0005-0000-0000-0000A0000000}"/>
    <cellStyle name="Normal 3 11 2 2 2" xfId="449" xr:uid="{CD93EFDF-3276-4615-A3AD-F52BDEFEF9B3}"/>
    <cellStyle name="Normal 3 11 2 3" xfId="241" xr:uid="{00000000-0005-0000-0000-0000A1000000}"/>
    <cellStyle name="Normal 3 11 2 3 2" xfId="484" xr:uid="{D2E1D49B-1696-49D9-81F8-B47660A6B733}"/>
    <cellStyle name="Normal 3 11 2 4" xfId="402" xr:uid="{5A84F229-4EC7-44A6-8994-FD799B607AB2}"/>
    <cellStyle name="Normal 3 11 2 5" xfId="335" xr:uid="{C1DE7867-FC3C-4737-AA99-29EDC73F78AE}"/>
    <cellStyle name="Normal 3 11 3" xfId="205" xr:uid="{00000000-0005-0000-0000-0000A2000000}"/>
    <cellStyle name="Normal 3 11 3 2" xfId="448" xr:uid="{9C400EF8-CD11-4E05-8FC8-3CF2F579C376}"/>
    <cellStyle name="Normal 3 11 4" xfId="240" xr:uid="{00000000-0005-0000-0000-0000A3000000}"/>
    <cellStyle name="Normal 3 11 4 2" xfId="483" xr:uid="{636B8815-F5B9-44A2-84A8-D8B7F4E206DE}"/>
    <cellStyle name="Normal 3 11 5" xfId="401" xr:uid="{C369162B-C15A-4B43-A30C-C5B31816526D}"/>
    <cellStyle name="Normal 3 11 6" xfId="334" xr:uid="{BBFE8406-E890-46A5-BC9A-385A4824ED47}"/>
    <cellStyle name="Normal 3 12" xfId="109" xr:uid="{00000000-0005-0000-0000-0000A4000000}"/>
    <cellStyle name="Normal 3 12 2" xfId="207" xr:uid="{00000000-0005-0000-0000-0000A5000000}"/>
    <cellStyle name="Normal 3 12 2 2" xfId="450" xr:uid="{2CA98C01-7067-4ED5-934F-A1E976177EA8}"/>
    <cellStyle name="Normal 3 12 3" xfId="242" xr:uid="{00000000-0005-0000-0000-0000A6000000}"/>
    <cellStyle name="Normal 3 12 3 2" xfId="485" xr:uid="{AAAAC127-4847-4DC7-90C9-B8109993F261}"/>
    <cellStyle name="Normal 3 12 4" xfId="403" xr:uid="{011EBAB6-F736-4D2C-967C-0FD5D3DFA153}"/>
    <cellStyle name="Normal 3 12 5" xfId="336" xr:uid="{909B3E08-97DE-4E77-905B-2D5E80C53291}"/>
    <cellStyle name="Normal 3 13" xfId="110" xr:uid="{00000000-0005-0000-0000-0000A7000000}"/>
    <cellStyle name="Normal 3 13 2" xfId="208" xr:uid="{00000000-0005-0000-0000-0000A8000000}"/>
    <cellStyle name="Normal 3 13 2 2" xfId="451" xr:uid="{87B29C59-A7C0-4B86-A883-3439007A5B26}"/>
    <cellStyle name="Normal 3 13 3" xfId="243" xr:uid="{00000000-0005-0000-0000-0000A9000000}"/>
    <cellStyle name="Normal 3 13 3 2" xfId="486" xr:uid="{5A3F91DC-7915-4FB8-A364-EAF5EF8A9B9B}"/>
    <cellStyle name="Normal 3 13 4" xfId="404" xr:uid="{3E00DF47-7E2E-4EA6-ABB9-008AB1299315}"/>
    <cellStyle name="Normal 3 13 5" xfId="337" xr:uid="{65AEA0EA-1F3E-4FAF-B3C5-8E517789E9F6}"/>
    <cellStyle name="Normal 3 14" xfId="276" xr:uid="{492C5149-269C-48DE-BEA3-2C16772FFF3E}"/>
    <cellStyle name="Normal 3 14 2" xfId="278" xr:uid="{BCD24CF2-3BC2-415B-9088-E70EFCD4F1EE}"/>
    <cellStyle name="Normal 3 14 2 2" xfId="553" xr:uid="{C4F182A6-497E-4DC0-90EA-080572C68C35}"/>
    <cellStyle name="Normal 3 14 2 3" xfId="533" xr:uid="{D5B97D7D-0D9D-4B08-814E-93F5A8D8008A}"/>
    <cellStyle name="Normal 3 14 3" xfId="281" xr:uid="{B11CBCD2-2435-4E66-972E-167AC0D35F0D}"/>
    <cellStyle name="Normal 3 14 3 2" xfId="551" xr:uid="{793CD9F8-F7EE-48F5-9A1F-02C301E5BB1C}"/>
    <cellStyle name="Normal 3 14 4" xfId="532" xr:uid="{4468D2E0-A665-4C6D-A5F8-20CD1D520F0E}"/>
    <cellStyle name="Normal 3 14 9" xfId="280" xr:uid="{A669B0C7-7F04-4BDA-A010-21E718ACA827}"/>
    <cellStyle name="Normal 3 14 9 2" xfId="555" xr:uid="{E3A61FA7-7B9E-45B0-858A-7C8C1F873681}"/>
    <cellStyle name="Normal 3 15" xfId="277" xr:uid="{C68EB668-97F4-4205-816A-8793BB361EA2}"/>
    <cellStyle name="Normal 3 15 2" xfId="552" xr:uid="{FE5CAC37-4305-4E15-BB1C-B20F6CA6C403}"/>
    <cellStyle name="Normal 3 15 4" xfId="279" xr:uid="{9B7894EA-E67E-448F-9434-76C4F7DD1E62}"/>
    <cellStyle name="Normal 3 15 4 2" xfId="554" xr:uid="{9688FD3F-5091-4DC9-8E31-081AF7124037}"/>
    <cellStyle name="Normal 3 2" xfId="111" xr:uid="{00000000-0005-0000-0000-0000AA000000}"/>
    <cellStyle name="Normal 3 2 2" xfId="112" xr:uid="{00000000-0005-0000-0000-0000AB000000}"/>
    <cellStyle name="Normal 3 2 3" xfId="113" xr:uid="{00000000-0005-0000-0000-0000AC000000}"/>
    <cellStyle name="Normal 3 2 3 2" xfId="210" xr:uid="{00000000-0005-0000-0000-0000AD000000}"/>
    <cellStyle name="Normal 3 2 3 2 2" xfId="453" xr:uid="{C47987F4-B25A-4ED0-9F2A-CE5567D01B6D}"/>
    <cellStyle name="Normal 3 2 3 3" xfId="245" xr:uid="{00000000-0005-0000-0000-0000AE000000}"/>
    <cellStyle name="Normal 3 2 3 3 2" xfId="488" xr:uid="{9BBEEEB7-8061-4046-B0B1-EA1D2FB16E8F}"/>
    <cellStyle name="Normal 3 2 3 4" xfId="406" xr:uid="{A9E0B9C1-940B-4A09-B719-8425D5194AE2}"/>
    <cellStyle name="Normal 3 2 3 5" xfId="339" xr:uid="{AD8D4BB3-D773-447D-BAEF-EE7D44F3F6DF}"/>
    <cellStyle name="Normal 3 2 4" xfId="209" xr:uid="{00000000-0005-0000-0000-0000AF000000}"/>
    <cellStyle name="Normal 3 2 4 2" xfId="452" xr:uid="{8E17F513-B8D5-4BFB-B8CF-D2366F395A39}"/>
    <cellStyle name="Normal 3 2 5" xfId="244" xr:uid="{00000000-0005-0000-0000-0000B0000000}"/>
    <cellStyle name="Normal 3 2 5 2" xfId="487" xr:uid="{A29271A3-CCDF-4A9C-9B51-D5CDCA065822}"/>
    <cellStyle name="Normal 3 2 6" xfId="405" xr:uid="{F9A8D07E-821F-4D98-98B7-6F2C1FE3A120}"/>
    <cellStyle name="Normal 3 2 7" xfId="338" xr:uid="{D31A5507-66AD-479C-8C48-06BD403F3DC6}"/>
    <cellStyle name="Normal 3 3" xfId="114" xr:uid="{00000000-0005-0000-0000-0000B1000000}"/>
    <cellStyle name="Normal 3 3 2" xfId="115" xr:uid="{00000000-0005-0000-0000-0000B2000000}"/>
    <cellStyle name="Normal 3 3 2 2" xfId="212" xr:uid="{00000000-0005-0000-0000-0000B3000000}"/>
    <cellStyle name="Normal 3 3 2 2 2" xfId="455" xr:uid="{72D6165B-E0AF-4879-92F7-3AAB2F7717D7}"/>
    <cellStyle name="Normal 3 3 2 3" xfId="247" xr:uid="{00000000-0005-0000-0000-0000B4000000}"/>
    <cellStyle name="Normal 3 3 2 3 2" xfId="490" xr:uid="{5E061E6B-DD3E-4049-AC88-6CA031080274}"/>
    <cellStyle name="Normal 3 3 2 4" xfId="408" xr:uid="{C30BAFAF-8254-49D4-BB11-E23E019D6DB6}"/>
    <cellStyle name="Normal 3 3 2 5" xfId="341" xr:uid="{01AA1A0C-F030-425B-829D-12E5BD42954E}"/>
    <cellStyle name="Normal 3 3 3" xfId="211" xr:uid="{00000000-0005-0000-0000-0000B5000000}"/>
    <cellStyle name="Normal 3 3 3 2" xfId="454" xr:uid="{4B3D91DD-9A7C-4DB0-AA2C-539236F46CAD}"/>
    <cellStyle name="Normal 3 3 4" xfId="246" xr:uid="{00000000-0005-0000-0000-0000B6000000}"/>
    <cellStyle name="Normal 3 3 4 2" xfId="489" xr:uid="{50D804C5-87D7-4614-8416-45DBD0B55C0A}"/>
    <cellStyle name="Normal 3 3 5" xfId="407" xr:uid="{221ED602-3661-41B0-B0A2-F5E1D4F7520A}"/>
    <cellStyle name="Normal 3 3 6" xfId="340" xr:uid="{E3E4E733-EE77-4C9A-BEB2-7763EA2BD977}"/>
    <cellStyle name="Normal 3 4" xfId="116" xr:uid="{00000000-0005-0000-0000-0000B7000000}"/>
    <cellStyle name="Normal 3 4 2" xfId="117" xr:uid="{00000000-0005-0000-0000-0000B8000000}"/>
    <cellStyle name="Normal 3 4 2 2" xfId="214" xr:uid="{00000000-0005-0000-0000-0000B9000000}"/>
    <cellStyle name="Normal 3 4 2 2 2" xfId="457" xr:uid="{CEAAF9BC-1034-43A7-83D7-A548F2251275}"/>
    <cellStyle name="Normal 3 4 2 3" xfId="249" xr:uid="{00000000-0005-0000-0000-0000BA000000}"/>
    <cellStyle name="Normal 3 4 2 3 2" xfId="492" xr:uid="{83133E94-D467-4794-B721-9415567D2CEA}"/>
    <cellStyle name="Normal 3 4 2 4" xfId="410" xr:uid="{92BC4AF2-2857-471A-AC07-1B018E40CAA2}"/>
    <cellStyle name="Normal 3 4 2 5" xfId="343" xr:uid="{95087924-6672-485C-AEA3-F5B0FCECCD9D}"/>
    <cellStyle name="Normal 3 4 3" xfId="213" xr:uid="{00000000-0005-0000-0000-0000BB000000}"/>
    <cellStyle name="Normal 3 4 3 2" xfId="456" xr:uid="{A7FCF6D0-EB8E-44E1-A93A-3C703E3822C0}"/>
    <cellStyle name="Normal 3 4 4" xfId="248" xr:uid="{00000000-0005-0000-0000-0000BC000000}"/>
    <cellStyle name="Normal 3 4 4 2" xfId="491" xr:uid="{00EA681A-4BEC-4EBD-B9E6-651F103CF331}"/>
    <cellStyle name="Normal 3 4 5" xfId="409" xr:uid="{CB6962E9-0022-4651-B54F-AD1D82F13B61}"/>
    <cellStyle name="Normal 3 4 6" xfId="342" xr:uid="{DFD3D47D-46A4-4A9F-859E-B0A9183A6D48}"/>
    <cellStyle name="Normal 3 5" xfId="118" xr:uid="{00000000-0005-0000-0000-0000BD000000}"/>
    <cellStyle name="Normal 3 5 2" xfId="119" xr:uid="{00000000-0005-0000-0000-0000BE000000}"/>
    <cellStyle name="Normal 3 5 2 2" xfId="216" xr:uid="{00000000-0005-0000-0000-0000BF000000}"/>
    <cellStyle name="Normal 3 5 2 2 2" xfId="459" xr:uid="{0822B8FF-C001-4484-A62A-DA09EAB7EABD}"/>
    <cellStyle name="Normal 3 5 2 3" xfId="251" xr:uid="{00000000-0005-0000-0000-0000C0000000}"/>
    <cellStyle name="Normal 3 5 2 3 2" xfId="494" xr:uid="{03B4089A-5B7C-449A-99E0-680774D06958}"/>
    <cellStyle name="Normal 3 5 2 4" xfId="412" xr:uid="{F257B647-A623-4ED9-8644-4C64F5439931}"/>
    <cellStyle name="Normal 3 5 2 5" xfId="345" xr:uid="{157D7E02-B43F-4DE7-8035-A070F1BE8E44}"/>
    <cellStyle name="Normal 3 5 3" xfId="215" xr:uid="{00000000-0005-0000-0000-0000C1000000}"/>
    <cellStyle name="Normal 3 5 3 2" xfId="458" xr:uid="{DA129DF8-7688-4C54-A9EE-9EED124C43B6}"/>
    <cellStyle name="Normal 3 5 4" xfId="250" xr:uid="{00000000-0005-0000-0000-0000C2000000}"/>
    <cellStyle name="Normal 3 5 4 2" xfId="493" xr:uid="{9FA4CB03-3F6D-4080-A382-6A68E9AD28CE}"/>
    <cellStyle name="Normal 3 5 5" xfId="411" xr:uid="{D8547CC7-2ACF-488F-9800-DC2E575D0B3C}"/>
    <cellStyle name="Normal 3 5 6" xfId="344" xr:uid="{D12026C4-AD5A-4832-B6EC-4EE8D7D84F2F}"/>
    <cellStyle name="Normal 3 6" xfId="120" xr:uid="{00000000-0005-0000-0000-0000C3000000}"/>
    <cellStyle name="Normal 3 7" xfId="121" xr:uid="{00000000-0005-0000-0000-0000C4000000}"/>
    <cellStyle name="Normal 3 8" xfId="122" xr:uid="{00000000-0005-0000-0000-0000C5000000}"/>
    <cellStyle name="Normal 3 8 2" xfId="123" xr:uid="{00000000-0005-0000-0000-0000C6000000}"/>
    <cellStyle name="Normal 3 8 2 2" xfId="218" xr:uid="{00000000-0005-0000-0000-0000C7000000}"/>
    <cellStyle name="Normal 3 8 2 2 2" xfId="461" xr:uid="{A9C957CE-6387-40F2-B485-FF5841DBF28E}"/>
    <cellStyle name="Normal 3 8 2 3" xfId="253" xr:uid="{00000000-0005-0000-0000-0000C8000000}"/>
    <cellStyle name="Normal 3 8 2 3 2" xfId="496" xr:uid="{DB86778A-6518-45CF-BEAF-A28936E197ED}"/>
    <cellStyle name="Normal 3 8 2 4" xfId="414" xr:uid="{D840FEAE-977A-4A39-B068-E16D0E871C7E}"/>
    <cellStyle name="Normal 3 8 2 5" xfId="347" xr:uid="{58231466-5EF5-4EE7-9566-1ADC2AC57E6C}"/>
    <cellStyle name="Normal 3 8 3" xfId="217" xr:uid="{00000000-0005-0000-0000-0000C9000000}"/>
    <cellStyle name="Normal 3 8 3 2" xfId="460" xr:uid="{3C6F46CC-DCB7-442B-A7F4-A773C739A6F6}"/>
    <cellStyle name="Normal 3 8 4" xfId="252" xr:uid="{00000000-0005-0000-0000-0000CA000000}"/>
    <cellStyle name="Normal 3 8 4 2" xfId="495" xr:uid="{6058A2DD-26EA-4DFD-96DE-EC4EE8D92A27}"/>
    <cellStyle name="Normal 3 8 5" xfId="413" xr:uid="{387815DD-E9F0-4051-B64A-5793FA4DFA0A}"/>
    <cellStyle name="Normal 3 8 6" xfId="346" xr:uid="{5954B7DD-659D-4F4E-8D7D-77E927045A3D}"/>
    <cellStyle name="Normal 3 9" xfId="124" xr:uid="{00000000-0005-0000-0000-0000CB000000}"/>
    <cellStyle name="Normal 3 9 2" xfId="125" xr:uid="{00000000-0005-0000-0000-0000CC000000}"/>
    <cellStyle name="Normal 3 9 2 2" xfId="220" xr:uid="{00000000-0005-0000-0000-0000CD000000}"/>
    <cellStyle name="Normal 3 9 2 2 2" xfId="463" xr:uid="{9236EDCC-F4DB-4C3B-9A60-F08552DE3FA9}"/>
    <cellStyle name="Normal 3 9 2 3" xfId="255" xr:uid="{00000000-0005-0000-0000-0000CE000000}"/>
    <cellStyle name="Normal 3 9 2 3 2" xfId="498" xr:uid="{C48E891E-C5A2-419E-84FA-78C2A6305A27}"/>
    <cellStyle name="Normal 3 9 2 4" xfId="416" xr:uid="{2767C546-CAE1-48AB-AB06-B99643580A7D}"/>
    <cellStyle name="Normal 3 9 2 5" xfId="349" xr:uid="{866AC705-13AC-444B-A2A8-6C24D9386960}"/>
    <cellStyle name="Normal 3 9 3" xfId="219" xr:uid="{00000000-0005-0000-0000-0000CF000000}"/>
    <cellStyle name="Normal 3 9 3 2" xfId="462" xr:uid="{9468A960-2FAE-4BC0-8756-D354B4819317}"/>
    <cellStyle name="Normal 3 9 4" xfId="254" xr:uid="{00000000-0005-0000-0000-0000D0000000}"/>
    <cellStyle name="Normal 3 9 4 2" xfId="497" xr:uid="{880AA31C-6A64-41F7-9172-479AB25D03D7}"/>
    <cellStyle name="Normal 3 9 5" xfId="415" xr:uid="{BCFBB1A1-3846-462F-8BB0-43AF94D20CAF}"/>
    <cellStyle name="Normal 3 9 6" xfId="348" xr:uid="{ABB06072-8FD5-4F9D-9287-D8920CBFA357}"/>
    <cellStyle name="Normal 4" xfId="126" xr:uid="{00000000-0005-0000-0000-0000D1000000}"/>
    <cellStyle name="Normal 4 2" xfId="127" xr:uid="{00000000-0005-0000-0000-0000D2000000}"/>
    <cellStyle name="Normal 4 3" xfId="221" xr:uid="{00000000-0005-0000-0000-0000D3000000}"/>
    <cellStyle name="Normal 4 3 2" xfId="464" xr:uid="{F30C0DC5-1AFC-44AE-A051-07D574197EC6}"/>
    <cellStyle name="Normal 4 4" xfId="256" xr:uid="{00000000-0005-0000-0000-0000D4000000}"/>
    <cellStyle name="Normal 4 4 2" xfId="499" xr:uid="{97DAD8B7-ED1B-44CE-A6A5-EA57F4759222}"/>
    <cellStyle name="Normal 4 5" xfId="417" xr:uid="{2AE09E1D-F533-4CAE-A21F-2776EF306DF0}"/>
    <cellStyle name="Normal 4 6" xfId="350" xr:uid="{5357B3EC-1A79-4D71-968B-7770F608DF28}"/>
    <cellStyle name="Normal 5" xfId="128" xr:uid="{00000000-0005-0000-0000-0000D5000000}"/>
    <cellStyle name="Normal 5 2" xfId="129" xr:uid="{00000000-0005-0000-0000-0000D6000000}"/>
    <cellStyle name="Normal 5 2 2" xfId="130" xr:uid="{00000000-0005-0000-0000-0000D7000000}"/>
    <cellStyle name="Normal 5 2 2 2" xfId="224" xr:uid="{00000000-0005-0000-0000-0000D8000000}"/>
    <cellStyle name="Normal 5 2 2 2 2" xfId="467" xr:uid="{0B14922D-0BD8-45FB-9CD2-307361974139}"/>
    <cellStyle name="Normal 5 2 2 3" xfId="259" xr:uid="{00000000-0005-0000-0000-0000D9000000}"/>
    <cellStyle name="Normal 5 2 2 3 2" xfId="502" xr:uid="{F9C71254-4247-434E-8007-F46B507E303E}"/>
    <cellStyle name="Normal 5 2 2 4" xfId="420" xr:uid="{B01D4F25-DB03-4F7E-A1B8-E3DFEC88ACC4}"/>
    <cellStyle name="Normal 5 2 2 5" xfId="353" xr:uid="{0757A402-4902-4D51-8906-B04BB436595A}"/>
    <cellStyle name="Normal 5 2 3" xfId="223" xr:uid="{00000000-0005-0000-0000-0000DA000000}"/>
    <cellStyle name="Normal 5 2 3 2" xfId="466" xr:uid="{A7F2E3DF-E54E-410D-B059-826831559488}"/>
    <cellStyle name="Normal 5 2 4" xfId="258" xr:uid="{00000000-0005-0000-0000-0000DB000000}"/>
    <cellStyle name="Normal 5 2 4 2" xfId="501" xr:uid="{31C26D79-BF2A-4BB4-959B-D83028A62D22}"/>
    <cellStyle name="Normal 5 2 5" xfId="419" xr:uid="{F3F83B6E-7CDB-4C7C-9B8F-AF7D52366408}"/>
    <cellStyle name="Normal 5 2 6" xfId="352" xr:uid="{F0CE8FF2-0898-43FC-8E9D-824D3BEB1F47}"/>
    <cellStyle name="Normal 5 3" xfId="131" xr:uid="{00000000-0005-0000-0000-0000DC000000}"/>
    <cellStyle name="Normal 5 3 2" xfId="225" xr:uid="{00000000-0005-0000-0000-0000DD000000}"/>
    <cellStyle name="Normal 5 3 2 2" xfId="468" xr:uid="{9ECA9E7C-FEB9-4B77-A166-1B4F6F5C92A0}"/>
    <cellStyle name="Normal 5 3 3" xfId="260" xr:uid="{00000000-0005-0000-0000-0000DE000000}"/>
    <cellStyle name="Normal 5 3 3 2" xfId="503" xr:uid="{FDFA7144-8181-42F4-8B28-1FB97B205CD4}"/>
    <cellStyle name="Normal 5 3 4" xfId="421" xr:uid="{CAAF7DB2-F9E9-4370-8D93-64F54A0475E0}"/>
    <cellStyle name="Normal 5 3 5" xfId="354" xr:uid="{1BC91A3E-9711-4948-980A-1A179F933D3D}"/>
    <cellStyle name="Normal 5 4" xfId="222" xr:uid="{00000000-0005-0000-0000-0000DF000000}"/>
    <cellStyle name="Normal 5 4 2" xfId="465" xr:uid="{A0BCDCD9-1334-48CF-AF8B-12EF0D0D03A4}"/>
    <cellStyle name="Normal 5 5" xfId="257" xr:uid="{00000000-0005-0000-0000-0000E0000000}"/>
    <cellStyle name="Normal 5 5 2" xfId="500" xr:uid="{AB72926B-D651-4C2B-97A9-B96C06260A4C}"/>
    <cellStyle name="Normal 5 6" xfId="418" xr:uid="{55BAF0DB-6827-4BFB-8996-C0922F439DD3}"/>
    <cellStyle name="Normal 5 7" xfId="351" xr:uid="{FB2266FC-3AFC-45C0-BADA-80F00C61AB5A}"/>
    <cellStyle name="Normal 6" xfId="132" xr:uid="{00000000-0005-0000-0000-0000E1000000}"/>
    <cellStyle name="Normal 7" xfId="133" xr:uid="{00000000-0005-0000-0000-0000E2000000}"/>
    <cellStyle name="Normal 7 2" xfId="134" xr:uid="{00000000-0005-0000-0000-0000E3000000}"/>
    <cellStyle name="Normal 7 2 2" xfId="227" xr:uid="{00000000-0005-0000-0000-0000E4000000}"/>
    <cellStyle name="Normal 7 2 2 2" xfId="470" xr:uid="{BCA1C13A-075C-4EBB-882D-EB481C4B51BA}"/>
    <cellStyle name="Normal 7 2 3" xfId="262" xr:uid="{00000000-0005-0000-0000-0000E5000000}"/>
    <cellStyle name="Normal 7 2 3 2" xfId="505" xr:uid="{AE8914DD-7C64-4F33-967F-8DEE0179F6D7}"/>
    <cellStyle name="Normal 7 2 4" xfId="423" xr:uid="{2AF53CC4-44E3-419F-8DC9-AE3DD5098309}"/>
    <cellStyle name="Normal 7 2 5" xfId="356" xr:uid="{B6B3E6D8-E527-4A1B-8EF4-7EC120B1D4E6}"/>
    <cellStyle name="Normal 7 3" xfId="226" xr:uid="{00000000-0005-0000-0000-0000E6000000}"/>
    <cellStyle name="Normal 7 3 2" xfId="469" xr:uid="{3B818226-7619-466A-A850-C51A19A16E03}"/>
    <cellStyle name="Normal 7 4" xfId="261" xr:uid="{00000000-0005-0000-0000-0000E7000000}"/>
    <cellStyle name="Normal 7 4 2" xfId="504" xr:uid="{AD48C518-ABA3-4E0A-B6E3-657D659D97CA}"/>
    <cellStyle name="Normal 7 5" xfId="422" xr:uid="{17B863CF-287D-44CF-AB72-71A7367E8060}"/>
    <cellStyle name="Normal 7 6" xfId="355" xr:uid="{67DFE467-8366-406E-BE09-002A92C0AE6C}"/>
    <cellStyle name="Normal 8" xfId="135" xr:uid="{00000000-0005-0000-0000-0000E8000000}"/>
    <cellStyle name="Normal 8 2" xfId="228" xr:uid="{00000000-0005-0000-0000-0000E9000000}"/>
    <cellStyle name="Normal 8 2 2" xfId="471" xr:uid="{971760B6-89CF-4FA2-BB6D-632932E50103}"/>
    <cellStyle name="Normal 8 3" xfId="274" xr:uid="{00000000-0005-0000-0000-0000EA000000}"/>
    <cellStyle name="Normal 8 3 2" xfId="424" xr:uid="{562C1E59-ED5A-4F1B-B745-55866134AD01}"/>
    <cellStyle name="Normal 8 6" xfId="152" xr:uid="{00000000-0005-0000-0000-0000EB000000}"/>
    <cellStyle name="Normal 8 6 2" xfId="154" xr:uid="{00000000-0005-0000-0000-0000EC000000}"/>
    <cellStyle name="Normal 8 6 2 2" xfId="429" xr:uid="{4D4A2470-2421-4E9D-81F8-457A3B9A80DB}"/>
    <cellStyle name="Normal 8 6 2 2 2" xfId="235" xr:uid="{00000000-0005-0000-0000-0000ED000000}"/>
    <cellStyle name="Normal 8 6 2 2 2 2" xfId="478" xr:uid="{9CEDAEBF-0277-40B6-8815-43E31A2B413D}"/>
    <cellStyle name="Normal 8 6 2 2 2 3" xfId="267" xr:uid="{00000000-0005-0000-0000-0000EE000000}"/>
    <cellStyle name="Normal 8 6 2 2 2 3 2" xfId="510" xr:uid="{C0691A44-C041-4E3E-BA3B-1E3B943530D8}"/>
    <cellStyle name="Normal 8 6 2 2 4" xfId="155" xr:uid="{00000000-0005-0000-0000-0000EF000000}"/>
    <cellStyle name="Normal 8 6 2 2 4 2" xfId="430" xr:uid="{EC7FAF1B-60C8-4C2D-A86A-E87056F30163}"/>
    <cellStyle name="Normal 8 6 3" xfId="234" xr:uid="{00000000-0005-0000-0000-0000F0000000}"/>
    <cellStyle name="Normal 8 6 3 2" xfId="477" xr:uid="{3AFAC939-FDB9-4980-8524-9B67DF0CBB2C}"/>
    <cellStyle name="Normal 8 6 3 3" xfId="265" xr:uid="{00000000-0005-0000-0000-0000F1000000}"/>
    <cellStyle name="Normal 8 6 3 3 2" xfId="269" xr:uid="{00000000-0005-0000-0000-0000F2000000}"/>
    <cellStyle name="Normal 8 6 3 3 2 2" xfId="550" xr:uid="{669A495B-0CD6-4752-91A6-0D28A5EFC8EC}"/>
    <cellStyle name="Normal 8 6 3 3 3" xfId="508" xr:uid="{D24061C5-890A-40B6-87C2-66CB3B785F0B}"/>
    <cellStyle name="Normal 8 6 3 3 3 3 2 2" xfId="559" xr:uid="{D537E53F-79D6-495C-B922-244B75291358}"/>
    <cellStyle name="Normal 8 6 3 3 3 3 2 4" xfId="560" xr:uid="{A5BE2BFF-797A-40E6-84BB-48ADB49A7C8D}"/>
    <cellStyle name="Normal 8 6 4" xfId="428" xr:uid="{C2FDA090-48E2-4F0D-9223-13B0DC495D69}"/>
    <cellStyle name="Normal 8 7" xfId="153" xr:uid="{00000000-0005-0000-0000-0000F3000000}"/>
    <cellStyle name="Normal 9" xfId="136" xr:uid="{00000000-0005-0000-0000-0000F4000000}"/>
    <cellStyle name="Normal_2002 määrus lisa 5" xfId="35" xr:uid="{00000000-0005-0000-0000-0000F5000000}"/>
    <cellStyle name="Normal_2002 määrus lisa 5 2" xfId="271" xr:uid="{00000000-0005-0000-0000-0000F6000000}"/>
    <cellStyle name="Normal_2002 määrus lisa 5_Lisad 22.02.11 II" xfId="36" xr:uid="{00000000-0005-0000-0000-0000F7000000}"/>
    <cellStyle name="Normal_vorm 1 koond" xfId="272" xr:uid="{00000000-0005-0000-0000-0000FA000000}"/>
    <cellStyle name="Normal_vorm 1 koond_Lisad 22.02.11 II" xfId="37" xr:uid="{00000000-0005-0000-0000-0000FB000000}"/>
    <cellStyle name="Note" xfId="38" builtinId="10" customBuiltin="1"/>
    <cellStyle name="Note 2" xfId="137" xr:uid="{00000000-0005-0000-0000-0000FD000000}"/>
    <cellStyle name="Note 2 2" xfId="357" xr:uid="{8C0CB227-CFB6-416B-B63C-0A9978D55DC3}"/>
    <cellStyle name="Note 2 3" xfId="513" xr:uid="{49A850A9-6400-43EC-A9D1-E689CC3D883A}"/>
    <cellStyle name="Note 3" xfId="145" xr:uid="{00000000-0005-0000-0000-0000FE000000}"/>
    <cellStyle name="Note 3 2" xfId="514" xr:uid="{407138D4-279F-46C1-911F-14BCF7B31D50}"/>
    <cellStyle name="Note 4" xfId="51" xr:uid="{00000000-0005-0000-0000-0000FF000000}"/>
    <cellStyle name="Note 4 2" xfId="515" xr:uid="{03451D36-FA37-4688-B889-D776917C77BA}"/>
    <cellStyle name="Note 5" xfId="193" xr:uid="{00000000-0005-0000-0000-000000010000}"/>
    <cellStyle name="Note 5 2" xfId="524" xr:uid="{294B9D36-0555-463A-AAD0-79D6B1C0681C}"/>
    <cellStyle name="Output" xfId="39" builtinId="21" customBuiltin="1"/>
    <cellStyle name="Output 2" xfId="138" xr:uid="{00000000-0005-0000-0000-000002010000}"/>
    <cellStyle name="Output 2 2" xfId="516" xr:uid="{82E2D3C8-D621-4A36-AD95-166276DFB201}"/>
    <cellStyle name="Output 2 2 2" xfId="569" xr:uid="{3E384686-01FC-4639-A1E9-8A78499EA6E9}"/>
    <cellStyle name="Output 2 3" xfId="549" xr:uid="{C3C789E9-202B-4023-9574-BE7898374AAB}"/>
    <cellStyle name="Output 3" xfId="194" xr:uid="{00000000-0005-0000-0000-000003010000}"/>
    <cellStyle name="Output 3 2" xfId="525" xr:uid="{0995ACFC-9D20-4995-8768-C4FB645820A8}"/>
    <cellStyle name="Output 3 2 2" xfId="577" xr:uid="{F9018C94-6917-4EFB-B53B-2EE7BB402F1D}"/>
    <cellStyle name="Output 3 3" xfId="542" xr:uid="{32422492-4B05-472F-BDB7-F48C56FA9B32}"/>
    <cellStyle name="Output 4" xfId="394" xr:uid="{A6E9BE99-E127-40F8-8421-A58616C7FFFA}"/>
    <cellStyle name="Output 4 2" xfId="520" xr:uid="{A7D83084-47DE-4194-8990-9AA354B76C7F}"/>
    <cellStyle name="Output 4 2 2" xfId="573" xr:uid="{9AEEE91C-E6BC-4A49-8AB6-FA551BCAE6BB}"/>
    <cellStyle name="Output 4 3" xfId="565" xr:uid="{30A6E2C9-50FC-48E0-AE53-0FD27C21DAAC}"/>
    <cellStyle name="Output 5" xfId="545" xr:uid="{1ED9AECF-42DF-4EB7-A927-AEF11F3DCC51}"/>
    <cellStyle name="Percent" xfId="150" builtinId="5"/>
    <cellStyle name="Percent 2" xfId="46" xr:uid="{00000000-0005-0000-0000-000005010000}"/>
    <cellStyle name="Percent 2 2" xfId="358" xr:uid="{0635E0B1-22C8-45B7-87B7-B5A50ABCC55D}"/>
    <cellStyle name="Percent 3" xfId="139" xr:uid="{00000000-0005-0000-0000-000006010000}"/>
    <cellStyle name="Percent 4" xfId="231" xr:uid="{00000000-0005-0000-0000-000007010000}"/>
    <cellStyle name="Percent 4 2" xfId="474" xr:uid="{AADACB72-FDEA-4014-AFDA-65D835428947}"/>
    <cellStyle name="Percent 4 3" xfId="359" xr:uid="{BB26FD16-1DDE-492D-B986-9B09290F112B}"/>
    <cellStyle name="Percent 5" xfId="290" xr:uid="{D91E7C29-C5E4-4BDA-9CAC-BF49CF5F4CA3}"/>
    <cellStyle name="Percent 5 2 4" xfId="531" xr:uid="{429E7A34-B597-4DFE-A9E5-CAF12B19487C}"/>
    <cellStyle name="Percent 5 2 4 2" xfId="537" xr:uid="{E1D3BF71-24D7-4B72-96E8-EE2A8017E284}"/>
    <cellStyle name="Percent 6" xfId="529" xr:uid="{BF8F5E92-A62E-4369-B5A3-0522F3C7E29C}"/>
    <cellStyle name="Percent 7" xfId="535" xr:uid="{C6599484-23A4-4C59-A63E-1273F5D7D152}"/>
    <cellStyle name="Protsent 2" xfId="286" xr:uid="{17CBBC95-C314-4211-BEE2-A4BDD0F58026}"/>
    <cellStyle name="Rõhk5 2" xfId="140" xr:uid="{00000000-0005-0000-0000-000008010000}"/>
    <cellStyle name="Rõhk5 3" xfId="199" xr:uid="{00000000-0005-0000-0000-000009010000}"/>
    <cellStyle name="Rõhk6 2" xfId="141" xr:uid="{00000000-0005-0000-0000-00000A010000}"/>
    <cellStyle name="Rõhk6 3" xfId="200" xr:uid="{00000000-0005-0000-0000-00000B010000}"/>
    <cellStyle name="Title" xfId="40" builtinId="15" customBuiltin="1"/>
    <cellStyle name="Title 2" xfId="142" xr:uid="{00000000-0005-0000-0000-00000D010000}"/>
    <cellStyle name="Title 3" xfId="195" xr:uid="{00000000-0005-0000-0000-00000E010000}"/>
    <cellStyle name="Total" xfId="41" builtinId="25" customBuiltin="1"/>
    <cellStyle name="Total 2" xfId="143" xr:uid="{00000000-0005-0000-0000-000010010000}"/>
    <cellStyle name="Total 2 2" xfId="517" xr:uid="{2323F687-37C1-41B3-BD35-ED55172D63E5}"/>
    <cellStyle name="Total 2 2 2" xfId="570" xr:uid="{14BE5BE6-703E-47B2-8967-5F01760F4A47}"/>
    <cellStyle name="Total 2 3" xfId="547" xr:uid="{B717B9EA-9FDD-4586-962B-EDCC4BBACEAC}"/>
    <cellStyle name="Total 3" xfId="196" xr:uid="{00000000-0005-0000-0000-000011010000}"/>
    <cellStyle name="Total 3 2" xfId="526" xr:uid="{8E746902-136F-43AE-AC84-66201A7FF94C}"/>
    <cellStyle name="Total 3 2 2" xfId="578" xr:uid="{9AE29431-36BF-4B82-B41A-911D52A3E27A}"/>
    <cellStyle name="Total 3 3" xfId="538" xr:uid="{AA2503B9-CFBE-4049-BB30-9C4428C7F36F}"/>
    <cellStyle name="Total 4" xfId="395" xr:uid="{B27B9688-0135-46CA-B997-7A5AFB37D2B6}"/>
    <cellStyle name="Total 4 2" xfId="521" xr:uid="{F8E3B807-66DE-46FE-A5CC-10563359E5EF}"/>
    <cellStyle name="Total 4 2 2" xfId="574" xr:uid="{8DA41F80-F64D-4074-B063-9E44F7A06CEC}"/>
    <cellStyle name="Total 4 3" xfId="566" xr:uid="{7A3775C0-E3A0-436B-8CF4-7B0AD581F37A}"/>
    <cellStyle name="Total 5" xfId="546" xr:uid="{EAB66AF1-78EA-419F-BC78-7768CC5D86A3}"/>
    <cellStyle name="Tulemus" xfId="275" xr:uid="{00000000-0005-0000-0000-000012010000}"/>
    <cellStyle name="Warning Text" xfId="42" builtinId="11" customBuiltin="1"/>
    <cellStyle name="Warning Text 2" xfId="144" xr:uid="{00000000-0005-0000-0000-000014010000}"/>
    <cellStyle name="Warning Text 3" xfId="197" xr:uid="{00000000-0005-0000-0000-000015010000}"/>
    <cellStyle name="Warning Text 4" xfId="396" xr:uid="{7B4289E7-20E2-4B9B-A99A-4731F8B5E8C1}"/>
  </cellStyles>
  <dxfs count="0"/>
  <tableStyles count="0" defaultTableStyle="TableStyleMedium2" defaultPivotStyle="PivotStyleLight16"/>
  <colors>
    <mruColors>
      <color rgb="FFFF0066"/>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teenistus/EELARVE%20OSAKOND/2011/2011%20EELARVE%20T&#196;ITMINE%20-%20VALGE%20RAAMAT/Koond%2026.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llinnlv.ee\data\Users\hirve\Documents\Ametikohtade%20hindamine\Copy%20of%20Koopia%20failist%20Tallinna%20Linnakantselei%20at%20palgatabel_2014_1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KOONDEELARVE"/>
      <sheetName val="2 KOONDEA TÄITMINE"/>
      <sheetName val="3 TULUDE KOOND"/>
      <sheetName val="4 LK TULUD"/>
      <sheetName val="5 RR - OTSTARVE"/>
      <sheetName val="6 TOETUSED"/>
      <sheetName val="Sheet1"/>
      <sheetName val="7 OMATULUD"/>
      <sheetName val="8 KULUD"/>
      <sheetName val="9 INVEST"/>
      <sheetName val="10 FIN.TEH"/>
      <sheetName val="11 EESMÄRGID"/>
      <sheetName val="Probleemid"/>
      <sheetName val="Taotlused"/>
      <sheetName val="1_KOONDEELARVE"/>
      <sheetName val="2_KOONDEA_TÄITMINE"/>
      <sheetName val="3_TULUDE_KOOND"/>
      <sheetName val="4_LK_TULUD"/>
      <sheetName val="5_RR_-_OTSTARVE"/>
      <sheetName val="6_TOETUSED"/>
      <sheetName val="7_OMATULUD"/>
      <sheetName val="8_KULUD"/>
      <sheetName val="9_INVEST"/>
      <sheetName val="10_FIN_TEH"/>
      <sheetName val="11_EESMÄRGID"/>
      <sheetName val="1_KOONDEELARVE4"/>
      <sheetName val="2_KOONDEA_TÄITMINE4"/>
      <sheetName val="3_TULUDE_KOOND4"/>
      <sheetName val="4_LK_TULUD4"/>
      <sheetName val="5_RR_-_OTSTARVE4"/>
      <sheetName val="6_TOETUSED4"/>
      <sheetName val="7_OMATULUD4"/>
      <sheetName val="8_KULUD4"/>
      <sheetName val="9_INVEST4"/>
      <sheetName val="10_FIN_TEH4"/>
      <sheetName val="11_EESMÄRGID4"/>
      <sheetName val="1_KOONDEELARVE2"/>
      <sheetName val="2_KOONDEA_TÄITMINE2"/>
      <sheetName val="3_TULUDE_KOOND2"/>
      <sheetName val="4_LK_TULUD2"/>
      <sheetName val="5_RR_-_OTSTARVE2"/>
      <sheetName val="6_TOETUSED2"/>
      <sheetName val="7_OMATULUD2"/>
      <sheetName val="8_KULUD2"/>
      <sheetName val="9_INVEST2"/>
      <sheetName val="10_FIN_TEH2"/>
      <sheetName val="11_EESMÄRGID2"/>
      <sheetName val="1_KOONDEELARVE1"/>
      <sheetName val="2_KOONDEA_TÄITMINE1"/>
      <sheetName val="3_TULUDE_KOOND1"/>
      <sheetName val="4_LK_TULUD1"/>
      <sheetName val="5_RR_-_OTSTARVE1"/>
      <sheetName val="6_TOETUSED1"/>
      <sheetName val="7_OMATULUD1"/>
      <sheetName val="8_KULUD1"/>
      <sheetName val="9_INVEST1"/>
      <sheetName val="10_FIN_TEH1"/>
      <sheetName val="11_EESMÄRGID1"/>
      <sheetName val="1_KOONDEELARVE3"/>
      <sheetName val="2_KOONDEA_TÄITMINE3"/>
      <sheetName val="3_TULUDE_KOOND3"/>
      <sheetName val="4_LK_TULUD3"/>
      <sheetName val="5_RR_-_OTSTARVE3"/>
      <sheetName val="6_TOETUSED3"/>
      <sheetName val="7_OMATULUD3"/>
      <sheetName val="8_KULUD3"/>
      <sheetName val="9_INVEST3"/>
      <sheetName val="10_FIN_TEH3"/>
      <sheetName val="11_EESMÄRGID3"/>
      <sheetName val="1_KOONDEELARVE5"/>
      <sheetName val="2_KOONDEA_TÄITMINE5"/>
      <sheetName val="3_TULUDE_KOOND5"/>
      <sheetName val="4_LK_TULUD5"/>
      <sheetName val="5_RR_-_OTSTARVE5"/>
      <sheetName val="6_TOETUSED5"/>
      <sheetName val="7_OMATULUD5"/>
      <sheetName val="8_KULUD5"/>
      <sheetName val="9_INVEST5"/>
      <sheetName val="10_FIN_TEH5"/>
      <sheetName val="11_EESMÄRGID5"/>
      <sheetName val="1_KOONDEELARVE6"/>
      <sheetName val="2_KOONDEA_TÄITMINE6"/>
      <sheetName val="3_TULUDE_KOOND6"/>
      <sheetName val="4_LK_TULUD6"/>
      <sheetName val="5_RR_-_OTSTARVE6"/>
      <sheetName val="6_TOETUSED6"/>
      <sheetName val="7_OMATULUD6"/>
      <sheetName val="8_KULUD6"/>
      <sheetName val="9_INVEST6"/>
      <sheetName val="10_FIN_TEH6"/>
      <sheetName val="11_EESMÄRGID6"/>
      <sheetName val="1_KOONDEELARVE7"/>
      <sheetName val="2_KOONDEA_TÄITMINE7"/>
      <sheetName val="3_TULUDE_KOOND7"/>
      <sheetName val="4_LK_TULUD7"/>
      <sheetName val="5_RR_-_OTSTARVE7"/>
      <sheetName val="6_TOETUSED7"/>
      <sheetName val="7_OMATULUD7"/>
      <sheetName val="8_KULUD7"/>
      <sheetName val="9_INVEST7"/>
      <sheetName val="10_FIN_TEH7"/>
      <sheetName val="11_EESMÄRGID7"/>
      <sheetName val="1_KOONDEELARVE8"/>
      <sheetName val="2_KOONDEA_TÄITMINE8"/>
      <sheetName val="3_TULUDE_KOOND8"/>
      <sheetName val="4_LK_TULUD8"/>
      <sheetName val="5_RR_-_OTSTARVE8"/>
      <sheetName val="6_TOETUSED8"/>
      <sheetName val="7_OMATULUD8"/>
      <sheetName val="8_KULUD8"/>
      <sheetName val="9_INVEST8"/>
      <sheetName val="10_FIN_TEH8"/>
      <sheetName val="11_EESMÄRGID8"/>
      <sheetName val="1_KOONDEELARVE9"/>
      <sheetName val="2_KOONDEA_TÄITMINE9"/>
      <sheetName val="3_TULUDE_KOOND9"/>
      <sheetName val="4_LK_TULUD9"/>
      <sheetName val="5_RR_-_OTSTARVE9"/>
      <sheetName val="6_TOETUSED9"/>
      <sheetName val="7_OMATULUD9"/>
      <sheetName val="8_KULUD9"/>
      <sheetName val="9_INVEST9"/>
      <sheetName val="10_FIN_TEH9"/>
      <sheetName val="11_EESMÄRGID9"/>
      <sheetName val="1_KOONDEELARVE10"/>
      <sheetName val="2_KOONDEA_TÄITMINE10"/>
      <sheetName val="3_TULUDE_KOOND10"/>
      <sheetName val="4_LK_TULUD10"/>
      <sheetName val="5_RR_-_OTSTARVE10"/>
      <sheetName val="6_TOETUSED10"/>
      <sheetName val="7_OMATULUD10"/>
      <sheetName val="8_KULUD10"/>
      <sheetName val="9_INVEST10"/>
      <sheetName val="10_FIN_TEH10"/>
      <sheetName val="11_EESMÄRGID10"/>
      <sheetName val="1_KOONDEELARVE11"/>
      <sheetName val="2_KOONDEA_TÄITMINE11"/>
      <sheetName val="3_TULUDE_KOOND11"/>
      <sheetName val="4_LK_TULUD11"/>
      <sheetName val="5_RR_-_OTSTARVE11"/>
      <sheetName val="6_TOETUSED11"/>
      <sheetName val="7_OMATULUD11"/>
      <sheetName val="8_KULUD11"/>
      <sheetName val="9_INVEST11"/>
      <sheetName val="10_FIN_TEH11"/>
      <sheetName val="11_EESMÄRGID11"/>
      <sheetName val="1_KOONDEELARVE12"/>
      <sheetName val="2_KOONDEA_TÄITMINE12"/>
      <sheetName val="3_TULUDE_KOOND12"/>
      <sheetName val="4_LK_TULUD12"/>
      <sheetName val="5_RR_-_OTSTARVE12"/>
      <sheetName val="6_TOETUSED12"/>
      <sheetName val="7_OMATULUD12"/>
      <sheetName val="8_KULUD12"/>
      <sheetName val="9_INVEST12"/>
      <sheetName val="10_FIN_TEH12"/>
      <sheetName val="11_EESMÄRGID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Andmed"/>
      <sheetName val="põhipalk"/>
      <sheetName val="tulemustasu2"/>
      <sheetName val="tulemustasu"/>
      <sheetName val="öötöö, riigipühad"/>
      <sheetName val="muutuvad tasud"/>
      <sheetName val="mobiiltelefon"/>
      <sheetName val="Sheet1"/>
      <sheetName val="Maakonnad"/>
      <sheetName val="Job Families"/>
      <sheetName val="Job Names"/>
      <sheetName val="Sheet2"/>
      <sheetName val="Ametiasutused põhitasud 2015"/>
      <sheetName val="8 KULUD"/>
      <sheetName val="öötöö,_riigipühad"/>
      <sheetName val="muutuvad_tasud"/>
      <sheetName val="Job_Families"/>
      <sheetName val="Job_Names"/>
      <sheetName val="Ametiasutused_põhitasud_2015"/>
      <sheetName val="8_KULUD"/>
      <sheetName val="öötöö,_riigipühad1"/>
      <sheetName val="muutuvad_tasud1"/>
      <sheetName val="Job_Families1"/>
      <sheetName val="Job_Names1"/>
      <sheetName val="Ametiasutused_põhitasud_20151"/>
      <sheetName val="8_KULUD1"/>
      <sheetName val="öötöö,_riigipühad2"/>
      <sheetName val="muutuvad_tasud2"/>
      <sheetName val="Job_Families2"/>
      <sheetName val="Job_Names2"/>
      <sheetName val="Ametiasutused_põhitasud_20152"/>
      <sheetName val="8_KULUD2"/>
      <sheetName val="öötöö,_riigipühad5"/>
      <sheetName val="muutuvad_tasud5"/>
      <sheetName val="Job_Families5"/>
      <sheetName val="Job_Names5"/>
      <sheetName val="Ametiasutused_põhitasud_20155"/>
      <sheetName val="8_KULUD5"/>
      <sheetName val="öötöö,_riigipühad3"/>
      <sheetName val="muutuvad_tasud3"/>
      <sheetName val="Job_Families3"/>
      <sheetName val="Job_Names3"/>
      <sheetName val="Ametiasutused_põhitasud_20153"/>
      <sheetName val="8_KULUD3"/>
      <sheetName val="öötöö,_riigipühad4"/>
      <sheetName val="muutuvad_tasud4"/>
      <sheetName val="Job_Families4"/>
      <sheetName val="Job_Names4"/>
      <sheetName val="Ametiasutused_põhitasud_20154"/>
      <sheetName val="8_KULUD4"/>
      <sheetName val="öötöö,_riigipühad6"/>
      <sheetName val="muutuvad_tasud6"/>
      <sheetName val="Job_Families6"/>
      <sheetName val="Job_Names6"/>
      <sheetName val="Ametiasutused_põhitasud_20156"/>
      <sheetName val="8_KULUD6"/>
      <sheetName val="öötöö,_riigipühad7"/>
      <sheetName val="muutuvad_tasud7"/>
      <sheetName val="Job_Families7"/>
      <sheetName val="Job_Names7"/>
      <sheetName val="Ametiasutused_põhitasud_20157"/>
      <sheetName val="8_KULUD7"/>
      <sheetName val="öötöö,_riigipühad8"/>
      <sheetName val="muutuvad_tasud8"/>
      <sheetName val="Job_Families8"/>
      <sheetName val="Job_Names8"/>
      <sheetName val="Ametiasutused_põhitasud_20158"/>
      <sheetName val="8_KULUD8"/>
      <sheetName val="öötöö,_riigipühad9"/>
      <sheetName val="muutuvad_tasud9"/>
      <sheetName val="Job_Families9"/>
      <sheetName val="Job_Names9"/>
      <sheetName val="Ametiasutused_põhitasud_20159"/>
      <sheetName val="8_KULUD9"/>
      <sheetName val="öötöö,_riigipühad10"/>
      <sheetName val="muutuvad_tasud10"/>
      <sheetName val="Job_Families10"/>
      <sheetName val="Job_Names10"/>
      <sheetName val="Ametiasutused_põhitasud_201510"/>
      <sheetName val="8_KULUD10"/>
      <sheetName val="öötöö,_riigipühad11"/>
      <sheetName val="muutuvad_tasud11"/>
      <sheetName val="Job_Families11"/>
      <sheetName val="Job_Names11"/>
      <sheetName val="Ametiasutused_põhitasud_201511"/>
      <sheetName val="8_KULUD11"/>
      <sheetName val="öötöö,_riigipühad12"/>
      <sheetName val="muutuvad_tasud12"/>
      <sheetName val="Job_Families12"/>
      <sheetName val="Job_Names12"/>
      <sheetName val="Ametiasutused_põhitasud_201512"/>
      <sheetName val="8_KULUD12"/>
      <sheetName val="öötöö,_riigipühad13"/>
      <sheetName val="muutuvad_tasud13"/>
      <sheetName val="Job_Families13"/>
      <sheetName val="Job_Names13"/>
      <sheetName val="Ametiasutused_põhitasud_201513"/>
      <sheetName val="8_KULUD13"/>
    </sheetNames>
    <sheetDataSet>
      <sheetData sheetId="0"/>
      <sheetData sheetId="1"/>
      <sheetData sheetId="2"/>
      <sheetData sheetId="3"/>
      <sheetData sheetId="4"/>
      <sheetData sheetId="5"/>
      <sheetData sheetId="6"/>
      <sheetData sheetId="7"/>
      <sheetData sheetId="8"/>
      <sheetData sheetId="9">
        <row r="1">
          <cell r="A1" t="str">
            <v>Harjumaa</v>
          </cell>
        </row>
        <row r="2">
          <cell r="A2" t="str">
            <v>Hiiumaa</v>
          </cell>
        </row>
        <row r="3">
          <cell r="A3" t="str">
            <v>Ida-Virumaa</v>
          </cell>
        </row>
        <row r="4">
          <cell r="A4" t="str">
            <v>Jõgevamaa</v>
          </cell>
        </row>
        <row r="5">
          <cell r="A5" t="str">
            <v>Järvamaa</v>
          </cell>
        </row>
        <row r="6">
          <cell r="A6" t="str">
            <v>Läänemaa</v>
          </cell>
        </row>
        <row r="7">
          <cell r="A7" t="str">
            <v>Lääne-Virumaa</v>
          </cell>
        </row>
        <row r="8">
          <cell r="A8" t="str">
            <v>Põlvamaa</v>
          </cell>
        </row>
        <row r="9">
          <cell r="A9" t="str">
            <v>Pärnumaa</v>
          </cell>
        </row>
        <row r="10">
          <cell r="A10" t="str">
            <v>Raplamaa</v>
          </cell>
        </row>
        <row r="11">
          <cell r="A11" t="str">
            <v>Saaremaa</v>
          </cell>
        </row>
        <row r="12">
          <cell r="A12" t="str">
            <v>Tartumaa</v>
          </cell>
        </row>
        <row r="13">
          <cell r="A13" t="str">
            <v>Valgamaa</v>
          </cell>
        </row>
        <row r="14">
          <cell r="A14" t="str">
            <v>Viljandimaa</v>
          </cell>
        </row>
        <row r="15">
          <cell r="A15" t="str">
            <v>Võrumaa</v>
          </cell>
        </row>
      </sheetData>
      <sheetData sheetId="10">
        <row r="2">
          <cell r="D2" t="str">
            <v>Actual Job Family</v>
          </cell>
          <cell r="E2" t="str">
            <v>Level</v>
          </cell>
          <cell r="F2" t="str">
            <v>Points</v>
          </cell>
          <cell r="G2" t="str">
            <v>min</v>
          </cell>
          <cell r="H2" t="str">
            <v>max</v>
          </cell>
        </row>
        <row r="3">
          <cell r="D3" t="str">
            <v>AT - (Sise)auditeerimine</v>
          </cell>
          <cell r="E3">
            <v>1</v>
          </cell>
          <cell r="F3">
            <v>184</v>
          </cell>
          <cell r="G3">
            <v>172</v>
          </cell>
          <cell r="H3">
            <v>197</v>
          </cell>
        </row>
        <row r="4">
          <cell r="D4" t="str">
            <v>AT - (Sise)auditeerimine</v>
          </cell>
          <cell r="E4">
            <v>2</v>
          </cell>
          <cell r="F4">
            <v>281</v>
          </cell>
          <cell r="G4">
            <v>262</v>
          </cell>
          <cell r="H4">
            <v>300</v>
          </cell>
        </row>
        <row r="5">
          <cell r="D5" t="str">
            <v>AT - (Sise)auditeerimine</v>
          </cell>
          <cell r="E5" t="str">
            <v>3A</v>
          </cell>
          <cell r="F5">
            <v>371</v>
          </cell>
          <cell r="G5">
            <v>346</v>
          </cell>
          <cell r="H5">
            <v>397</v>
          </cell>
        </row>
        <row r="6">
          <cell r="D6" t="str">
            <v>AT - (Sise)auditeerimine</v>
          </cell>
          <cell r="E6" t="str">
            <v>3B</v>
          </cell>
          <cell r="F6">
            <v>371</v>
          </cell>
          <cell r="G6">
            <v>346</v>
          </cell>
          <cell r="H6">
            <v>397</v>
          </cell>
        </row>
        <row r="7">
          <cell r="D7" t="str">
            <v>AT - (Sise)auditeerimine</v>
          </cell>
          <cell r="E7">
            <v>4</v>
          </cell>
          <cell r="F7">
            <v>492</v>
          </cell>
          <cell r="G7">
            <v>458</v>
          </cell>
          <cell r="H7">
            <v>526</v>
          </cell>
        </row>
        <row r="8">
          <cell r="D8" t="str">
            <v>AT - Andmeait</v>
          </cell>
          <cell r="E8">
            <v>1</v>
          </cell>
          <cell r="F8">
            <v>160</v>
          </cell>
          <cell r="G8">
            <v>150</v>
          </cell>
          <cell r="H8">
            <v>149</v>
          </cell>
        </row>
        <row r="9">
          <cell r="D9" t="str">
            <v>AT - Andmeait</v>
          </cell>
          <cell r="E9">
            <v>2</v>
          </cell>
          <cell r="F9">
            <v>244</v>
          </cell>
          <cell r="G9">
            <v>228</v>
          </cell>
          <cell r="H9">
            <v>261</v>
          </cell>
        </row>
        <row r="10">
          <cell r="D10" t="str">
            <v>AT - Andmeait</v>
          </cell>
          <cell r="E10">
            <v>3</v>
          </cell>
          <cell r="F10">
            <v>323</v>
          </cell>
          <cell r="G10">
            <v>301</v>
          </cell>
          <cell r="H10">
            <v>345</v>
          </cell>
        </row>
        <row r="11">
          <cell r="D11" t="str">
            <v>AT - Andmeait</v>
          </cell>
          <cell r="E11">
            <v>4</v>
          </cell>
          <cell r="F11">
            <v>427</v>
          </cell>
          <cell r="G11">
            <v>398</v>
          </cell>
          <cell r="H11">
            <v>457</v>
          </cell>
        </row>
        <row r="12">
          <cell r="D12" t="str">
            <v>AT - Andmeanalüüs ja -seire</v>
          </cell>
          <cell r="E12">
            <v>1</v>
          </cell>
          <cell r="F12">
            <v>121</v>
          </cell>
          <cell r="G12">
            <v>113</v>
          </cell>
          <cell r="H12">
            <v>129</v>
          </cell>
        </row>
        <row r="13">
          <cell r="D13" t="str">
            <v>AT - Andmeanalüüs ja -seire</v>
          </cell>
          <cell r="E13">
            <v>2</v>
          </cell>
          <cell r="F13">
            <v>212</v>
          </cell>
          <cell r="G13">
            <v>198</v>
          </cell>
          <cell r="H13">
            <v>227</v>
          </cell>
        </row>
        <row r="14">
          <cell r="D14" t="str">
            <v>AT - Andmeanalüüs ja -seire</v>
          </cell>
          <cell r="E14">
            <v>3</v>
          </cell>
          <cell r="F14">
            <v>281</v>
          </cell>
          <cell r="G14">
            <v>262</v>
          </cell>
          <cell r="H14">
            <v>300</v>
          </cell>
        </row>
        <row r="15">
          <cell r="D15" t="str">
            <v>AT - Andmeanalüüs ja -seire</v>
          </cell>
          <cell r="E15" t="str">
            <v>4A</v>
          </cell>
          <cell r="F15">
            <v>323</v>
          </cell>
          <cell r="G15">
            <v>301</v>
          </cell>
          <cell r="H15">
            <v>345</v>
          </cell>
        </row>
        <row r="16">
          <cell r="D16" t="str">
            <v>AT - Andmeanalüüs ja -seire</v>
          </cell>
          <cell r="E16" t="str">
            <v>4B</v>
          </cell>
          <cell r="F16">
            <v>427</v>
          </cell>
          <cell r="G16">
            <v>398</v>
          </cell>
          <cell r="H16">
            <v>457</v>
          </cell>
        </row>
        <row r="17">
          <cell r="D17" t="str">
            <v>AT - Andmeanalüüs ja -seire</v>
          </cell>
          <cell r="E17" t="str">
            <v>5A</v>
          </cell>
          <cell r="F17">
            <v>427</v>
          </cell>
          <cell r="G17">
            <v>398</v>
          </cell>
          <cell r="H17">
            <v>457</v>
          </cell>
        </row>
        <row r="18">
          <cell r="D18" t="str">
            <v>AT - Andmeanalüüs ja -seire</v>
          </cell>
          <cell r="E18" t="str">
            <v>5B</v>
          </cell>
          <cell r="F18">
            <v>492</v>
          </cell>
          <cell r="G18">
            <v>458</v>
          </cell>
          <cell r="H18">
            <v>526</v>
          </cell>
        </row>
        <row r="19">
          <cell r="D19" t="str">
            <v>AT - Arengu ja poliitika kujundamine</v>
          </cell>
          <cell r="E19">
            <v>1</v>
          </cell>
          <cell r="F19">
            <v>184</v>
          </cell>
          <cell r="G19">
            <v>172</v>
          </cell>
          <cell r="H19">
            <v>197</v>
          </cell>
        </row>
        <row r="20">
          <cell r="D20" t="str">
            <v>AT - Arengu ja poliitika kujundamine</v>
          </cell>
          <cell r="E20">
            <v>2</v>
          </cell>
          <cell r="F20">
            <v>244</v>
          </cell>
          <cell r="G20">
            <v>228</v>
          </cell>
          <cell r="H20">
            <v>261</v>
          </cell>
        </row>
        <row r="21">
          <cell r="D21" t="str">
            <v>AT - Arengu ja poliitika kujundamine</v>
          </cell>
          <cell r="E21">
            <v>3</v>
          </cell>
          <cell r="F21">
            <v>323</v>
          </cell>
          <cell r="G21">
            <v>301</v>
          </cell>
          <cell r="H21">
            <v>345</v>
          </cell>
        </row>
        <row r="22">
          <cell r="D22" t="str">
            <v>AT - Arengu ja poliitika kujundamine</v>
          </cell>
          <cell r="E22">
            <v>4</v>
          </cell>
          <cell r="F22">
            <v>427</v>
          </cell>
          <cell r="G22">
            <v>398</v>
          </cell>
          <cell r="H22">
            <v>457</v>
          </cell>
        </row>
        <row r="23">
          <cell r="D23" t="str">
            <v>AT - Arengu ja poliitika kujundamine</v>
          </cell>
          <cell r="E23">
            <v>5</v>
          </cell>
          <cell r="F23">
            <v>492</v>
          </cell>
          <cell r="G23">
            <v>458</v>
          </cell>
          <cell r="H23">
            <v>526</v>
          </cell>
        </row>
        <row r="24">
          <cell r="D24" t="str">
            <v>AT - Arengu ja poliitika kujundamine</v>
          </cell>
          <cell r="E24">
            <v>6</v>
          </cell>
          <cell r="F24">
            <v>651</v>
          </cell>
          <cell r="G24">
            <v>606</v>
          </cell>
          <cell r="H24">
            <v>696</v>
          </cell>
        </row>
        <row r="25">
          <cell r="D25" t="str">
            <v>AT - Arhiivindus</v>
          </cell>
          <cell r="E25" t="str">
            <v>1B</v>
          </cell>
          <cell r="F25">
            <v>139</v>
          </cell>
          <cell r="G25">
            <v>130</v>
          </cell>
          <cell r="H25">
            <v>149</v>
          </cell>
        </row>
        <row r="26">
          <cell r="D26" t="str">
            <v>AT - Arhiivindus</v>
          </cell>
          <cell r="E26" t="str">
            <v>1A</v>
          </cell>
          <cell r="F26">
            <v>160</v>
          </cell>
          <cell r="G26">
            <v>150</v>
          </cell>
          <cell r="H26">
            <v>171</v>
          </cell>
        </row>
        <row r="27">
          <cell r="D27" t="str">
            <v>AT - Arhiivindus</v>
          </cell>
          <cell r="E27" t="str">
            <v>2B</v>
          </cell>
          <cell r="F27">
            <v>184</v>
          </cell>
          <cell r="G27">
            <v>172</v>
          </cell>
          <cell r="H27">
            <v>197</v>
          </cell>
        </row>
        <row r="28">
          <cell r="D28" t="str">
            <v>AT - Arhiivindus</v>
          </cell>
          <cell r="E28" t="str">
            <v>2A</v>
          </cell>
          <cell r="F28">
            <v>212</v>
          </cell>
          <cell r="G28">
            <v>198</v>
          </cell>
          <cell r="H28">
            <v>227</v>
          </cell>
        </row>
        <row r="29">
          <cell r="D29" t="str">
            <v>AT - Arhiivindus</v>
          </cell>
          <cell r="E29" t="str">
            <v>3A</v>
          </cell>
          <cell r="F29">
            <v>281</v>
          </cell>
          <cell r="G29">
            <v>262</v>
          </cell>
          <cell r="H29">
            <v>300</v>
          </cell>
        </row>
        <row r="30">
          <cell r="D30" t="str">
            <v>AT - Arhiivindus</v>
          </cell>
          <cell r="E30" t="str">
            <v>3B</v>
          </cell>
          <cell r="F30">
            <v>281</v>
          </cell>
          <cell r="G30">
            <v>262</v>
          </cell>
          <cell r="H30">
            <v>300</v>
          </cell>
        </row>
        <row r="31">
          <cell r="D31" t="str">
            <v>AT - Arhiivindus</v>
          </cell>
          <cell r="E31">
            <v>4</v>
          </cell>
          <cell r="F31">
            <v>427</v>
          </cell>
          <cell r="G31">
            <v>398</v>
          </cell>
          <cell r="H31">
            <v>457</v>
          </cell>
        </row>
        <row r="32">
          <cell r="D32" t="str">
            <v>AT - Ekspertiis</v>
          </cell>
          <cell r="E32">
            <v>1</v>
          </cell>
          <cell r="F32">
            <v>160</v>
          </cell>
          <cell r="G32">
            <v>150</v>
          </cell>
          <cell r="H32">
            <v>171</v>
          </cell>
        </row>
        <row r="33">
          <cell r="D33" t="str">
            <v>AT - Ekspertiis</v>
          </cell>
          <cell r="E33">
            <v>2</v>
          </cell>
          <cell r="F33">
            <v>212</v>
          </cell>
          <cell r="G33">
            <v>198</v>
          </cell>
          <cell r="H33">
            <v>227</v>
          </cell>
        </row>
        <row r="34">
          <cell r="D34" t="str">
            <v>AT - Ekspertiis</v>
          </cell>
          <cell r="E34">
            <v>3</v>
          </cell>
          <cell r="F34">
            <v>281</v>
          </cell>
          <cell r="G34">
            <v>262</v>
          </cell>
          <cell r="H34">
            <v>300</v>
          </cell>
        </row>
        <row r="35">
          <cell r="D35" t="str">
            <v>AT - Ekspertiis</v>
          </cell>
          <cell r="E35">
            <v>4</v>
          </cell>
          <cell r="F35">
            <v>323</v>
          </cell>
          <cell r="G35">
            <v>301</v>
          </cell>
          <cell r="H35">
            <v>345</v>
          </cell>
        </row>
        <row r="36">
          <cell r="D36" t="str">
            <v>AT - Ekspertiis</v>
          </cell>
          <cell r="E36">
            <v>5</v>
          </cell>
          <cell r="F36">
            <v>427</v>
          </cell>
          <cell r="G36">
            <v>398</v>
          </cell>
          <cell r="H36">
            <v>457</v>
          </cell>
        </row>
        <row r="37">
          <cell r="D37" t="str">
            <v>AT - Finantsanalüüs, -planeerimine ja -juhtimine</v>
          </cell>
          <cell r="E37">
            <v>1</v>
          </cell>
          <cell r="F37">
            <v>160</v>
          </cell>
          <cell r="G37">
            <v>150</v>
          </cell>
          <cell r="H37">
            <v>171</v>
          </cell>
        </row>
        <row r="38">
          <cell r="D38" t="str">
            <v>AT - Finantsanalüüs, -planeerimine ja -juhtimine</v>
          </cell>
          <cell r="E38">
            <v>2</v>
          </cell>
          <cell r="F38">
            <v>184</v>
          </cell>
          <cell r="G38">
            <v>172</v>
          </cell>
          <cell r="H38">
            <v>197</v>
          </cell>
        </row>
        <row r="39">
          <cell r="D39" t="str">
            <v>AT - Finantsanalüüs, -planeerimine ja -juhtimine</v>
          </cell>
          <cell r="E39">
            <v>3</v>
          </cell>
          <cell r="F39">
            <v>281</v>
          </cell>
          <cell r="G39">
            <v>262</v>
          </cell>
          <cell r="H39">
            <v>300</v>
          </cell>
        </row>
        <row r="40">
          <cell r="D40" t="str">
            <v>AT - Finantsanalüüs, -planeerimine ja -juhtimine</v>
          </cell>
          <cell r="E40">
            <v>4</v>
          </cell>
          <cell r="F40">
            <v>427</v>
          </cell>
          <cell r="G40">
            <v>398</v>
          </cell>
          <cell r="H40">
            <v>457</v>
          </cell>
        </row>
        <row r="41">
          <cell r="D41" t="str">
            <v>AT - Finantsanalüüs, -planeerimine ja -juhtimine</v>
          </cell>
          <cell r="E41">
            <v>5</v>
          </cell>
          <cell r="F41">
            <v>492</v>
          </cell>
          <cell r="G41">
            <v>458</v>
          </cell>
          <cell r="H41">
            <v>526</v>
          </cell>
        </row>
        <row r="42">
          <cell r="D42" t="str">
            <v>AT - Geomaatika</v>
          </cell>
          <cell r="E42">
            <v>1</v>
          </cell>
          <cell r="F42">
            <v>160</v>
          </cell>
          <cell r="G42">
            <v>150</v>
          </cell>
          <cell r="H42">
            <v>171</v>
          </cell>
        </row>
        <row r="43">
          <cell r="D43" t="str">
            <v>AT - Geomaatika</v>
          </cell>
          <cell r="E43">
            <v>2</v>
          </cell>
          <cell r="F43">
            <v>212</v>
          </cell>
          <cell r="G43">
            <v>198</v>
          </cell>
          <cell r="H43">
            <v>227</v>
          </cell>
        </row>
        <row r="44">
          <cell r="D44" t="str">
            <v>AT - Geomaatika</v>
          </cell>
          <cell r="E44">
            <v>3</v>
          </cell>
          <cell r="F44">
            <v>244</v>
          </cell>
          <cell r="G44">
            <v>228</v>
          </cell>
          <cell r="H44">
            <v>261</v>
          </cell>
        </row>
        <row r="45">
          <cell r="D45" t="str">
            <v>AT - Geomaatika</v>
          </cell>
          <cell r="E45">
            <v>4</v>
          </cell>
          <cell r="F45">
            <v>371</v>
          </cell>
          <cell r="G45">
            <v>346</v>
          </cell>
          <cell r="H45">
            <v>397</v>
          </cell>
        </row>
        <row r="46">
          <cell r="D46" t="str">
            <v>AT - Haridus</v>
          </cell>
          <cell r="E46">
            <v>1</v>
          </cell>
          <cell r="F46">
            <v>160</v>
          </cell>
          <cell r="G46">
            <v>150</v>
          </cell>
          <cell r="H46">
            <v>171</v>
          </cell>
        </row>
        <row r="47">
          <cell r="D47" t="str">
            <v>AT - Haridus</v>
          </cell>
          <cell r="E47" t="str">
            <v>2A</v>
          </cell>
          <cell r="F47">
            <v>244</v>
          </cell>
          <cell r="G47">
            <v>228</v>
          </cell>
          <cell r="H47">
            <v>261</v>
          </cell>
        </row>
        <row r="48">
          <cell r="D48" t="str">
            <v>AT - Haridus</v>
          </cell>
          <cell r="E48" t="str">
            <v>2B</v>
          </cell>
          <cell r="F48">
            <v>244</v>
          </cell>
          <cell r="G48">
            <v>228</v>
          </cell>
          <cell r="H48">
            <v>261</v>
          </cell>
        </row>
        <row r="49">
          <cell r="D49" t="str">
            <v>AT - Haridus</v>
          </cell>
          <cell r="E49" t="str">
            <v>3A</v>
          </cell>
          <cell r="F49">
            <v>323</v>
          </cell>
          <cell r="G49">
            <v>301</v>
          </cell>
          <cell r="H49">
            <v>345</v>
          </cell>
        </row>
        <row r="50">
          <cell r="D50" t="str">
            <v>AT - Haridus</v>
          </cell>
          <cell r="E50" t="str">
            <v>3B</v>
          </cell>
          <cell r="F50">
            <v>323</v>
          </cell>
          <cell r="G50">
            <v>301</v>
          </cell>
          <cell r="H50">
            <v>345</v>
          </cell>
        </row>
        <row r="51">
          <cell r="D51" t="str">
            <v>AT - Haridus</v>
          </cell>
          <cell r="E51">
            <v>4</v>
          </cell>
          <cell r="F51">
            <v>492</v>
          </cell>
          <cell r="G51">
            <v>458</v>
          </cell>
          <cell r="H51">
            <v>526</v>
          </cell>
        </row>
        <row r="52">
          <cell r="D52" t="str">
            <v>AT - Info ja dokumendihaldus</v>
          </cell>
          <cell r="E52">
            <v>1</v>
          </cell>
          <cell r="F52">
            <v>105</v>
          </cell>
          <cell r="G52">
            <v>98</v>
          </cell>
          <cell r="H52">
            <v>112</v>
          </cell>
        </row>
        <row r="53">
          <cell r="D53" t="str">
            <v>AT - Info ja dokumendihaldus</v>
          </cell>
          <cell r="E53">
            <v>2</v>
          </cell>
          <cell r="F53">
            <v>139</v>
          </cell>
          <cell r="G53">
            <v>130</v>
          </cell>
          <cell r="H53">
            <v>149</v>
          </cell>
        </row>
        <row r="54">
          <cell r="D54" t="str">
            <v>AT - Info ja dokumendihaldus</v>
          </cell>
          <cell r="E54">
            <v>3</v>
          </cell>
          <cell r="F54">
            <v>212</v>
          </cell>
          <cell r="G54">
            <v>198</v>
          </cell>
          <cell r="H54">
            <v>227</v>
          </cell>
        </row>
        <row r="55">
          <cell r="D55" t="str">
            <v>AT - Info ja dokumendihaldus</v>
          </cell>
          <cell r="E55">
            <v>4</v>
          </cell>
          <cell r="F55">
            <v>281</v>
          </cell>
          <cell r="G55">
            <v>262</v>
          </cell>
          <cell r="H55">
            <v>300</v>
          </cell>
        </row>
        <row r="56">
          <cell r="D56" t="str">
            <v>AT - Info ja dokumendihaldus</v>
          </cell>
          <cell r="E56">
            <v>5</v>
          </cell>
          <cell r="F56">
            <v>371</v>
          </cell>
          <cell r="G56">
            <v>346</v>
          </cell>
          <cell r="H56">
            <v>397</v>
          </cell>
        </row>
        <row r="57">
          <cell r="D57" t="str">
            <v>AT - Inseneritööd</v>
          </cell>
          <cell r="E57">
            <v>1</v>
          </cell>
          <cell r="F57">
            <v>160</v>
          </cell>
          <cell r="G57">
            <v>150</v>
          </cell>
          <cell r="H57">
            <v>171</v>
          </cell>
        </row>
        <row r="58">
          <cell r="D58" t="str">
            <v>AT - Inseneritööd</v>
          </cell>
          <cell r="E58">
            <v>2</v>
          </cell>
          <cell r="F58">
            <v>244</v>
          </cell>
          <cell r="G58">
            <v>228</v>
          </cell>
          <cell r="H58">
            <v>261</v>
          </cell>
        </row>
        <row r="59">
          <cell r="D59" t="str">
            <v>AT - Inseneritööd</v>
          </cell>
          <cell r="E59">
            <v>3</v>
          </cell>
          <cell r="F59">
            <v>323</v>
          </cell>
          <cell r="G59">
            <v>301</v>
          </cell>
          <cell r="H59">
            <v>345</v>
          </cell>
        </row>
        <row r="60">
          <cell r="D60" t="str">
            <v>AT - Inseneritööd</v>
          </cell>
          <cell r="E60">
            <v>4</v>
          </cell>
          <cell r="F60">
            <v>427</v>
          </cell>
          <cell r="G60">
            <v>398</v>
          </cell>
          <cell r="H60">
            <v>457</v>
          </cell>
        </row>
        <row r="61">
          <cell r="D61" t="str">
            <v>AT - Instruktorid-koolitajad</v>
          </cell>
          <cell r="E61">
            <v>1</v>
          </cell>
          <cell r="F61">
            <v>160</v>
          </cell>
          <cell r="G61">
            <v>150</v>
          </cell>
          <cell r="H61">
            <v>171</v>
          </cell>
        </row>
        <row r="62">
          <cell r="D62" t="str">
            <v>AT - Instruktorid-koolitajad</v>
          </cell>
          <cell r="E62">
            <v>2</v>
          </cell>
          <cell r="F62">
            <v>212</v>
          </cell>
          <cell r="G62">
            <v>198</v>
          </cell>
          <cell r="H62">
            <v>227</v>
          </cell>
        </row>
        <row r="63">
          <cell r="D63" t="str">
            <v>AT - Instruktorid-koolitajad</v>
          </cell>
          <cell r="E63">
            <v>3</v>
          </cell>
          <cell r="F63">
            <v>281</v>
          </cell>
          <cell r="G63">
            <v>262</v>
          </cell>
          <cell r="H63">
            <v>300</v>
          </cell>
        </row>
        <row r="64">
          <cell r="D64" t="str">
            <v>AT - Isikute teenindamine</v>
          </cell>
          <cell r="E64">
            <v>1</v>
          </cell>
          <cell r="F64">
            <v>79</v>
          </cell>
          <cell r="G64">
            <v>74</v>
          </cell>
          <cell r="H64">
            <v>84</v>
          </cell>
        </row>
        <row r="65">
          <cell r="D65" t="str">
            <v>AT - Isikute teenindamine</v>
          </cell>
          <cell r="E65">
            <v>2</v>
          </cell>
          <cell r="F65">
            <v>105</v>
          </cell>
          <cell r="G65">
            <v>98</v>
          </cell>
          <cell r="H65">
            <v>112</v>
          </cell>
        </row>
        <row r="66">
          <cell r="D66" t="str">
            <v>AT - Isikute teenindamine</v>
          </cell>
          <cell r="E66" t="str">
            <v>3A</v>
          </cell>
          <cell r="F66">
            <v>139</v>
          </cell>
          <cell r="G66">
            <v>130</v>
          </cell>
          <cell r="H66">
            <v>149</v>
          </cell>
        </row>
        <row r="67">
          <cell r="D67" t="str">
            <v>AT - Isikute teenindamine</v>
          </cell>
          <cell r="E67" t="str">
            <v>3B</v>
          </cell>
          <cell r="F67">
            <v>160</v>
          </cell>
          <cell r="G67">
            <v>150</v>
          </cell>
          <cell r="H67">
            <v>171</v>
          </cell>
        </row>
        <row r="68">
          <cell r="D68" t="str">
            <v>AT - Isikute teenindamine</v>
          </cell>
          <cell r="E68">
            <v>4</v>
          </cell>
          <cell r="F68">
            <v>244</v>
          </cell>
          <cell r="G68">
            <v>228</v>
          </cell>
          <cell r="H68">
            <v>261</v>
          </cell>
        </row>
        <row r="69">
          <cell r="D69" t="str">
            <v>AT - Isikute teenindamine</v>
          </cell>
          <cell r="E69">
            <v>5</v>
          </cell>
          <cell r="F69">
            <v>323</v>
          </cell>
          <cell r="G69">
            <v>301</v>
          </cell>
          <cell r="H69">
            <v>345</v>
          </cell>
        </row>
        <row r="70">
          <cell r="D70" t="str">
            <v>AT - IT - andmeturve</v>
          </cell>
          <cell r="E70">
            <v>1</v>
          </cell>
          <cell r="F70">
            <v>184</v>
          </cell>
          <cell r="G70">
            <v>172</v>
          </cell>
          <cell r="H70">
            <v>197</v>
          </cell>
        </row>
        <row r="71">
          <cell r="D71" t="str">
            <v>AT - IT - andmeturve</v>
          </cell>
          <cell r="E71">
            <v>2</v>
          </cell>
          <cell r="F71">
            <v>281</v>
          </cell>
          <cell r="G71">
            <v>262</v>
          </cell>
          <cell r="H71">
            <v>300</v>
          </cell>
        </row>
        <row r="72">
          <cell r="D72" t="str">
            <v>AT - IT - andmeturve</v>
          </cell>
          <cell r="E72">
            <v>3</v>
          </cell>
          <cell r="F72">
            <v>371</v>
          </cell>
          <cell r="G72">
            <v>346</v>
          </cell>
          <cell r="H72">
            <v>397</v>
          </cell>
        </row>
        <row r="73">
          <cell r="D73" t="str">
            <v>AT - IT - arvutigraafika</v>
          </cell>
          <cell r="E73">
            <v>1</v>
          </cell>
          <cell r="F73">
            <v>139</v>
          </cell>
          <cell r="G73">
            <v>130</v>
          </cell>
          <cell r="H73">
            <v>149</v>
          </cell>
        </row>
        <row r="74">
          <cell r="D74" t="str">
            <v>AT - IT - arvutigraafika</v>
          </cell>
          <cell r="E74">
            <v>2</v>
          </cell>
          <cell r="F74">
            <v>244</v>
          </cell>
          <cell r="G74">
            <v>228</v>
          </cell>
          <cell r="H74">
            <v>261</v>
          </cell>
        </row>
        <row r="75">
          <cell r="D75" t="str">
            <v>AT - IT - juhtimine</v>
          </cell>
          <cell r="E75">
            <v>1</v>
          </cell>
          <cell r="F75">
            <v>244</v>
          </cell>
          <cell r="G75">
            <v>228</v>
          </cell>
          <cell r="H75">
            <v>261</v>
          </cell>
        </row>
        <row r="76">
          <cell r="D76" t="str">
            <v>AT - IT - juhtimine</v>
          </cell>
          <cell r="E76">
            <v>2</v>
          </cell>
          <cell r="F76">
            <v>371</v>
          </cell>
          <cell r="G76">
            <v>346</v>
          </cell>
          <cell r="H76">
            <v>397</v>
          </cell>
        </row>
        <row r="77">
          <cell r="D77" t="str">
            <v>AT - IT - juhtimine</v>
          </cell>
          <cell r="E77">
            <v>3</v>
          </cell>
          <cell r="F77">
            <v>492</v>
          </cell>
          <cell r="G77">
            <v>458</v>
          </cell>
          <cell r="H77">
            <v>526</v>
          </cell>
        </row>
        <row r="78">
          <cell r="D78" t="str">
            <v>AT - IT - konsultandid</v>
          </cell>
          <cell r="E78">
            <v>1</v>
          </cell>
          <cell r="F78">
            <v>212</v>
          </cell>
          <cell r="G78">
            <v>198</v>
          </cell>
          <cell r="H78">
            <v>227</v>
          </cell>
        </row>
        <row r="79">
          <cell r="D79" t="str">
            <v>AT - IT - konsultandid</v>
          </cell>
          <cell r="E79">
            <v>2</v>
          </cell>
          <cell r="F79">
            <v>281</v>
          </cell>
          <cell r="G79">
            <v>262</v>
          </cell>
          <cell r="H79">
            <v>300</v>
          </cell>
        </row>
        <row r="80">
          <cell r="D80" t="str">
            <v>AT - IT - konsultandid</v>
          </cell>
          <cell r="E80">
            <v>3</v>
          </cell>
          <cell r="F80">
            <v>427</v>
          </cell>
          <cell r="G80">
            <v>398</v>
          </cell>
          <cell r="H80">
            <v>457</v>
          </cell>
        </row>
        <row r="81">
          <cell r="D81" t="str">
            <v>AT - IT - projektijuhtimine</v>
          </cell>
          <cell r="E81">
            <v>1</v>
          </cell>
          <cell r="F81">
            <v>212</v>
          </cell>
          <cell r="G81">
            <v>198</v>
          </cell>
          <cell r="H81">
            <v>227</v>
          </cell>
        </row>
        <row r="82">
          <cell r="D82" t="str">
            <v>AT - IT - projektijuhtimine</v>
          </cell>
          <cell r="E82">
            <v>2</v>
          </cell>
          <cell r="F82">
            <v>281</v>
          </cell>
          <cell r="G82">
            <v>262</v>
          </cell>
          <cell r="H82">
            <v>300</v>
          </cell>
        </row>
        <row r="83">
          <cell r="D83" t="str">
            <v>AT - IT - projektijuhtimine</v>
          </cell>
          <cell r="E83">
            <v>3</v>
          </cell>
          <cell r="F83">
            <v>371</v>
          </cell>
          <cell r="G83">
            <v>346</v>
          </cell>
          <cell r="H83">
            <v>397</v>
          </cell>
        </row>
        <row r="84">
          <cell r="D84" t="str">
            <v>AT - IT - süsteemiadministratsioon</v>
          </cell>
          <cell r="E84">
            <v>1</v>
          </cell>
          <cell r="F84">
            <v>139</v>
          </cell>
          <cell r="G84">
            <v>130</v>
          </cell>
          <cell r="H84">
            <v>149</v>
          </cell>
        </row>
        <row r="85">
          <cell r="D85" t="str">
            <v>AT - IT - süsteemiadministratsioon</v>
          </cell>
          <cell r="E85">
            <v>2</v>
          </cell>
          <cell r="F85">
            <v>212</v>
          </cell>
          <cell r="G85">
            <v>198</v>
          </cell>
          <cell r="H85">
            <v>227</v>
          </cell>
        </row>
        <row r="86">
          <cell r="D86" t="str">
            <v>AT - IT - süsteemiadministratsioon</v>
          </cell>
          <cell r="E86">
            <v>3</v>
          </cell>
          <cell r="F86">
            <v>281</v>
          </cell>
          <cell r="G86">
            <v>262</v>
          </cell>
          <cell r="H86">
            <v>300</v>
          </cell>
        </row>
        <row r="87">
          <cell r="D87" t="str">
            <v>AT - IT - süsteemiadministratsioon</v>
          </cell>
          <cell r="E87">
            <v>4</v>
          </cell>
          <cell r="F87">
            <v>427</v>
          </cell>
          <cell r="G87">
            <v>398</v>
          </cell>
          <cell r="H87">
            <v>457</v>
          </cell>
        </row>
        <row r="88">
          <cell r="D88" t="str">
            <v>AT - IT - süsteemianalüüs</v>
          </cell>
          <cell r="E88">
            <v>1</v>
          </cell>
          <cell r="F88">
            <v>160</v>
          </cell>
          <cell r="G88">
            <v>150</v>
          </cell>
          <cell r="H88">
            <v>171</v>
          </cell>
        </row>
        <row r="89">
          <cell r="D89" t="str">
            <v>AT - IT - süsteemianalüüs</v>
          </cell>
          <cell r="E89">
            <v>2</v>
          </cell>
          <cell r="F89">
            <v>244</v>
          </cell>
          <cell r="G89">
            <v>228</v>
          </cell>
          <cell r="H89">
            <v>261</v>
          </cell>
        </row>
        <row r="90">
          <cell r="D90" t="str">
            <v>AT - IT - süsteemianalüüs</v>
          </cell>
          <cell r="E90">
            <v>3</v>
          </cell>
          <cell r="F90">
            <v>323</v>
          </cell>
          <cell r="G90">
            <v>301</v>
          </cell>
          <cell r="H90">
            <v>345</v>
          </cell>
        </row>
        <row r="91">
          <cell r="D91" t="str">
            <v>AT - IT - süsteemianalüüs</v>
          </cell>
          <cell r="E91">
            <v>4</v>
          </cell>
          <cell r="F91">
            <v>492</v>
          </cell>
          <cell r="G91">
            <v>458</v>
          </cell>
          <cell r="H91">
            <v>526</v>
          </cell>
        </row>
        <row r="92">
          <cell r="D92" t="str">
            <v>AT - IT - süsteemiarhitektuur</v>
          </cell>
          <cell r="E92">
            <v>1</v>
          </cell>
          <cell r="F92">
            <v>323</v>
          </cell>
          <cell r="G92">
            <v>301</v>
          </cell>
          <cell r="H92">
            <v>345</v>
          </cell>
        </row>
        <row r="93">
          <cell r="D93" t="str">
            <v>AT - IT - süsteemiarhitektuur</v>
          </cell>
          <cell r="E93">
            <v>2</v>
          </cell>
          <cell r="F93">
            <v>427</v>
          </cell>
          <cell r="G93">
            <v>398</v>
          </cell>
          <cell r="H93">
            <v>457</v>
          </cell>
        </row>
        <row r="94">
          <cell r="D94" t="str">
            <v>AT - IT - süsteemiarhitektuur</v>
          </cell>
          <cell r="E94">
            <v>3</v>
          </cell>
          <cell r="F94">
            <v>566</v>
          </cell>
          <cell r="G94">
            <v>527</v>
          </cell>
          <cell r="H94">
            <v>605</v>
          </cell>
        </row>
        <row r="95">
          <cell r="D95" t="str">
            <v>AT - IT - tarkvara programmeerimine</v>
          </cell>
          <cell r="E95">
            <v>1</v>
          </cell>
          <cell r="F95">
            <v>160</v>
          </cell>
          <cell r="G95">
            <v>150</v>
          </cell>
          <cell r="H95">
            <v>171</v>
          </cell>
        </row>
        <row r="96">
          <cell r="D96" t="str">
            <v>AT - IT - tarkvara programmeerimine</v>
          </cell>
          <cell r="E96">
            <v>2</v>
          </cell>
          <cell r="F96">
            <v>212</v>
          </cell>
          <cell r="G96">
            <v>198</v>
          </cell>
          <cell r="H96">
            <v>227</v>
          </cell>
        </row>
        <row r="97">
          <cell r="D97" t="str">
            <v>AT - IT - tarkvara programmeerimine</v>
          </cell>
          <cell r="E97">
            <v>3</v>
          </cell>
          <cell r="F97">
            <v>281</v>
          </cell>
          <cell r="G97">
            <v>262</v>
          </cell>
          <cell r="H97">
            <v>300</v>
          </cell>
        </row>
        <row r="98">
          <cell r="D98" t="str">
            <v>AT - IT - tarkvara programmeerimine</v>
          </cell>
          <cell r="E98">
            <v>4</v>
          </cell>
          <cell r="F98">
            <v>427</v>
          </cell>
          <cell r="G98">
            <v>398</v>
          </cell>
          <cell r="H98">
            <v>457</v>
          </cell>
        </row>
        <row r="99">
          <cell r="D99" t="str">
            <v>AT - IT - teenuste tugi</v>
          </cell>
          <cell r="E99">
            <v>1</v>
          </cell>
          <cell r="F99">
            <v>160</v>
          </cell>
          <cell r="G99">
            <v>150</v>
          </cell>
          <cell r="H99">
            <v>171</v>
          </cell>
        </row>
        <row r="100">
          <cell r="D100" t="str">
            <v>AT - IT - teenuste tugi</v>
          </cell>
          <cell r="E100">
            <v>2</v>
          </cell>
          <cell r="F100">
            <v>212</v>
          </cell>
          <cell r="G100">
            <v>198</v>
          </cell>
          <cell r="H100">
            <v>227</v>
          </cell>
        </row>
        <row r="101">
          <cell r="D101" t="str">
            <v>AT - IT - teenuste tugi</v>
          </cell>
          <cell r="E101">
            <v>3</v>
          </cell>
          <cell r="F101">
            <v>281</v>
          </cell>
          <cell r="G101">
            <v>262</v>
          </cell>
          <cell r="H101">
            <v>300</v>
          </cell>
        </row>
        <row r="102">
          <cell r="D102" t="str">
            <v>AT - IT - testimine</v>
          </cell>
          <cell r="E102">
            <v>1</v>
          </cell>
          <cell r="F102">
            <v>121</v>
          </cell>
          <cell r="G102">
            <v>113</v>
          </cell>
          <cell r="H102">
            <v>129</v>
          </cell>
        </row>
        <row r="103">
          <cell r="D103" t="str">
            <v>AT - IT - testimine</v>
          </cell>
          <cell r="E103">
            <v>2</v>
          </cell>
          <cell r="F103">
            <v>160</v>
          </cell>
          <cell r="G103">
            <v>150</v>
          </cell>
          <cell r="H103">
            <v>171</v>
          </cell>
        </row>
        <row r="104">
          <cell r="D104" t="str">
            <v>AT - IT - testimine</v>
          </cell>
          <cell r="E104">
            <v>3</v>
          </cell>
          <cell r="F104">
            <v>212</v>
          </cell>
          <cell r="G104">
            <v>198</v>
          </cell>
          <cell r="H104">
            <v>227</v>
          </cell>
        </row>
        <row r="105">
          <cell r="D105" t="str">
            <v>AT - IT - testimine</v>
          </cell>
          <cell r="E105">
            <v>4</v>
          </cell>
          <cell r="F105">
            <v>281</v>
          </cell>
          <cell r="G105">
            <v>262</v>
          </cell>
          <cell r="H105">
            <v>300</v>
          </cell>
        </row>
        <row r="106">
          <cell r="D106" t="str">
            <v>AT - Kokad</v>
          </cell>
          <cell r="E106">
            <v>1</v>
          </cell>
          <cell r="F106">
            <v>79</v>
          </cell>
          <cell r="G106">
            <v>74</v>
          </cell>
          <cell r="H106">
            <v>84</v>
          </cell>
        </row>
        <row r="107">
          <cell r="D107" t="str">
            <v>AT - Kokad</v>
          </cell>
          <cell r="E107">
            <v>2</v>
          </cell>
          <cell r="F107">
            <v>105</v>
          </cell>
          <cell r="G107">
            <v>98</v>
          </cell>
          <cell r="H107">
            <v>112</v>
          </cell>
        </row>
        <row r="108">
          <cell r="D108" t="str">
            <v>AT - Kokad</v>
          </cell>
          <cell r="E108">
            <v>3</v>
          </cell>
          <cell r="F108">
            <v>160</v>
          </cell>
          <cell r="G108">
            <v>150</v>
          </cell>
          <cell r="H108">
            <v>171</v>
          </cell>
        </row>
        <row r="109">
          <cell r="D109" t="str">
            <v>AT - Kokad</v>
          </cell>
          <cell r="E109">
            <v>4</v>
          </cell>
          <cell r="F109">
            <v>281</v>
          </cell>
          <cell r="G109">
            <v>262</v>
          </cell>
          <cell r="H109">
            <v>300</v>
          </cell>
        </row>
        <row r="110">
          <cell r="D110" t="str">
            <v>AT - Kommunikatsiooni juhtimine</v>
          </cell>
          <cell r="E110">
            <v>1</v>
          </cell>
          <cell r="F110">
            <v>160</v>
          </cell>
          <cell r="G110">
            <v>150</v>
          </cell>
          <cell r="H110">
            <v>171</v>
          </cell>
        </row>
        <row r="111">
          <cell r="D111" t="str">
            <v>AT - Kommunikatsiooni juhtimine</v>
          </cell>
          <cell r="E111">
            <v>2</v>
          </cell>
          <cell r="F111">
            <v>244</v>
          </cell>
          <cell r="G111">
            <v>228</v>
          </cell>
          <cell r="H111">
            <v>261</v>
          </cell>
        </row>
        <row r="112">
          <cell r="D112" t="str">
            <v>AT - Kommunikatsiooni juhtimine</v>
          </cell>
          <cell r="E112">
            <v>3</v>
          </cell>
          <cell r="F112">
            <v>323</v>
          </cell>
          <cell r="G112">
            <v>301</v>
          </cell>
          <cell r="H112">
            <v>345</v>
          </cell>
        </row>
        <row r="113">
          <cell r="D113" t="str">
            <v>AT - Kommunikatsiooni juhtimine</v>
          </cell>
          <cell r="E113">
            <v>4</v>
          </cell>
          <cell r="F113">
            <v>492</v>
          </cell>
          <cell r="G113">
            <v>458</v>
          </cell>
          <cell r="H113">
            <v>526</v>
          </cell>
        </row>
        <row r="114">
          <cell r="D114" t="str">
            <v>AT - Koostöö korraldamine</v>
          </cell>
          <cell r="E114">
            <v>1</v>
          </cell>
          <cell r="F114">
            <v>160</v>
          </cell>
          <cell r="G114">
            <v>150</v>
          </cell>
          <cell r="H114">
            <v>171</v>
          </cell>
        </row>
        <row r="115">
          <cell r="D115" t="str">
            <v>AT - Koostöö korraldamine</v>
          </cell>
          <cell r="E115">
            <v>2</v>
          </cell>
          <cell r="F115">
            <v>212</v>
          </cell>
          <cell r="G115">
            <v>198</v>
          </cell>
          <cell r="H115">
            <v>227</v>
          </cell>
        </row>
        <row r="116">
          <cell r="D116" t="str">
            <v>AT - Koostöö korraldamine</v>
          </cell>
          <cell r="E116">
            <v>3</v>
          </cell>
          <cell r="F116">
            <v>281</v>
          </cell>
          <cell r="G116">
            <v>262</v>
          </cell>
          <cell r="H116">
            <v>300</v>
          </cell>
        </row>
        <row r="117">
          <cell r="D117" t="str">
            <v>AT - Koostöö korraldamine</v>
          </cell>
          <cell r="E117">
            <v>4</v>
          </cell>
          <cell r="F117">
            <v>427</v>
          </cell>
          <cell r="G117">
            <v>398</v>
          </cell>
          <cell r="H117">
            <v>457</v>
          </cell>
        </row>
        <row r="118">
          <cell r="D118" t="str">
            <v>AT - Korra tagamine</v>
          </cell>
          <cell r="E118">
            <v>1</v>
          </cell>
          <cell r="F118">
            <v>105</v>
          </cell>
          <cell r="G118">
            <v>98</v>
          </cell>
          <cell r="H118">
            <v>112</v>
          </cell>
        </row>
        <row r="119">
          <cell r="D119" t="str">
            <v>AT - Korra tagamine</v>
          </cell>
          <cell r="E119">
            <v>2</v>
          </cell>
          <cell r="F119">
            <v>139</v>
          </cell>
          <cell r="G119">
            <v>130</v>
          </cell>
          <cell r="H119">
            <v>149</v>
          </cell>
        </row>
        <row r="120">
          <cell r="D120" t="str">
            <v>AT - Korra tagamine</v>
          </cell>
          <cell r="E120">
            <v>3</v>
          </cell>
          <cell r="F120">
            <v>184</v>
          </cell>
          <cell r="G120">
            <v>172</v>
          </cell>
          <cell r="H120">
            <v>197</v>
          </cell>
        </row>
        <row r="121">
          <cell r="D121" t="str">
            <v>AT - Korra tagamine</v>
          </cell>
          <cell r="E121">
            <v>4</v>
          </cell>
          <cell r="F121">
            <v>212</v>
          </cell>
          <cell r="G121">
            <v>198</v>
          </cell>
          <cell r="H121">
            <v>227</v>
          </cell>
        </row>
        <row r="122">
          <cell r="D122" t="str">
            <v>AT - Korra tagamine</v>
          </cell>
          <cell r="E122">
            <v>5</v>
          </cell>
          <cell r="F122">
            <v>244</v>
          </cell>
          <cell r="G122">
            <v>228</v>
          </cell>
          <cell r="H122">
            <v>261</v>
          </cell>
        </row>
        <row r="123">
          <cell r="D123" t="str">
            <v>AT - Korra tagamine</v>
          </cell>
          <cell r="E123">
            <v>6</v>
          </cell>
          <cell r="F123">
            <v>323</v>
          </cell>
          <cell r="G123">
            <v>301</v>
          </cell>
          <cell r="H123">
            <v>345</v>
          </cell>
        </row>
        <row r="124">
          <cell r="D124" t="str">
            <v>AT - Korra tagamine</v>
          </cell>
          <cell r="E124">
            <v>7</v>
          </cell>
          <cell r="F124">
            <v>427</v>
          </cell>
          <cell r="G124">
            <v>398</v>
          </cell>
          <cell r="H124">
            <v>457</v>
          </cell>
        </row>
        <row r="125">
          <cell r="D125" t="str">
            <v>AT - Kunstilised tööd</v>
          </cell>
          <cell r="E125">
            <v>1</v>
          </cell>
          <cell r="F125">
            <v>139</v>
          </cell>
          <cell r="G125">
            <v>130</v>
          </cell>
          <cell r="H125">
            <v>149</v>
          </cell>
        </row>
        <row r="126">
          <cell r="D126" t="str">
            <v>AT - Kunstilised tööd</v>
          </cell>
          <cell r="E126">
            <v>2</v>
          </cell>
          <cell r="F126">
            <v>184</v>
          </cell>
          <cell r="G126">
            <v>172</v>
          </cell>
          <cell r="H126">
            <v>197</v>
          </cell>
        </row>
        <row r="127">
          <cell r="D127" t="str">
            <v>AT - Laboritööd</v>
          </cell>
          <cell r="E127">
            <v>1</v>
          </cell>
          <cell r="F127">
            <v>79</v>
          </cell>
          <cell r="G127">
            <v>74</v>
          </cell>
          <cell r="H127">
            <v>84</v>
          </cell>
        </row>
        <row r="128">
          <cell r="D128" t="str">
            <v>AT - Laboritööd</v>
          </cell>
          <cell r="E128">
            <v>2</v>
          </cell>
          <cell r="F128">
            <v>121</v>
          </cell>
          <cell r="G128">
            <v>113</v>
          </cell>
          <cell r="H128">
            <v>129</v>
          </cell>
        </row>
        <row r="129">
          <cell r="D129" t="str">
            <v>AT - Laboritööd</v>
          </cell>
          <cell r="E129">
            <v>3</v>
          </cell>
          <cell r="F129">
            <v>184</v>
          </cell>
          <cell r="G129">
            <v>172</v>
          </cell>
          <cell r="H129">
            <v>197</v>
          </cell>
        </row>
        <row r="130">
          <cell r="D130" t="str">
            <v>AT - Laboritööd</v>
          </cell>
          <cell r="E130">
            <v>4</v>
          </cell>
          <cell r="F130">
            <v>244</v>
          </cell>
          <cell r="G130">
            <v>228</v>
          </cell>
          <cell r="H130">
            <v>261</v>
          </cell>
        </row>
        <row r="131">
          <cell r="D131" t="str">
            <v>AT - Laboritööd</v>
          </cell>
          <cell r="E131">
            <v>5</v>
          </cell>
          <cell r="F131">
            <v>323</v>
          </cell>
          <cell r="G131">
            <v>301</v>
          </cell>
          <cell r="H131">
            <v>345</v>
          </cell>
        </row>
        <row r="132">
          <cell r="D132" t="str">
            <v>AT - Ladu</v>
          </cell>
          <cell r="E132">
            <v>1</v>
          </cell>
          <cell r="F132">
            <v>91</v>
          </cell>
          <cell r="G132">
            <v>85</v>
          </cell>
          <cell r="H132">
            <v>97</v>
          </cell>
        </row>
        <row r="133">
          <cell r="D133" t="str">
            <v>AT - Ladu</v>
          </cell>
          <cell r="E133">
            <v>2</v>
          </cell>
          <cell r="F133">
            <v>139</v>
          </cell>
          <cell r="G133">
            <v>130</v>
          </cell>
          <cell r="H133">
            <v>149</v>
          </cell>
        </row>
        <row r="134">
          <cell r="D134" t="str">
            <v>AT - Ladu</v>
          </cell>
          <cell r="E134">
            <v>3</v>
          </cell>
          <cell r="F134">
            <v>184</v>
          </cell>
          <cell r="G134">
            <v>172</v>
          </cell>
          <cell r="H134">
            <v>197</v>
          </cell>
        </row>
        <row r="135">
          <cell r="D135" t="str">
            <v>AT - Ladu</v>
          </cell>
          <cell r="E135">
            <v>4</v>
          </cell>
          <cell r="F135">
            <v>323</v>
          </cell>
          <cell r="G135">
            <v>301</v>
          </cell>
          <cell r="H135">
            <v>345</v>
          </cell>
        </row>
        <row r="136">
          <cell r="D136" t="str">
            <v>AT - Laevameeskond</v>
          </cell>
          <cell r="E136">
            <v>1</v>
          </cell>
          <cell r="F136">
            <v>91</v>
          </cell>
          <cell r="G136">
            <v>85</v>
          </cell>
          <cell r="H136">
            <v>97</v>
          </cell>
        </row>
        <row r="137">
          <cell r="D137" t="str">
            <v>AT - Laevameeskond</v>
          </cell>
          <cell r="E137">
            <v>2</v>
          </cell>
          <cell r="F137">
            <v>139</v>
          </cell>
          <cell r="G137">
            <v>130</v>
          </cell>
          <cell r="H137">
            <v>149</v>
          </cell>
        </row>
        <row r="138">
          <cell r="D138" t="str">
            <v>AT - Laevameeskond</v>
          </cell>
          <cell r="E138">
            <v>3</v>
          </cell>
          <cell r="F138">
            <v>160</v>
          </cell>
          <cell r="G138">
            <v>150</v>
          </cell>
          <cell r="H138">
            <v>171</v>
          </cell>
        </row>
        <row r="139">
          <cell r="D139" t="str">
            <v>AT - Laevameeskond</v>
          </cell>
          <cell r="E139" t="str">
            <v>4A</v>
          </cell>
          <cell r="F139">
            <v>184</v>
          </cell>
          <cell r="G139">
            <v>172</v>
          </cell>
          <cell r="H139">
            <v>197</v>
          </cell>
        </row>
        <row r="140">
          <cell r="D140" t="str">
            <v>AT - Laevameeskond</v>
          </cell>
          <cell r="E140" t="str">
            <v>4B</v>
          </cell>
          <cell r="F140">
            <v>212</v>
          </cell>
          <cell r="G140">
            <v>198</v>
          </cell>
          <cell r="H140">
            <v>227</v>
          </cell>
        </row>
        <row r="141">
          <cell r="D141" t="str">
            <v>AT - Laevameeskond</v>
          </cell>
          <cell r="E141" t="str">
            <v>4C</v>
          </cell>
          <cell r="F141">
            <v>244</v>
          </cell>
          <cell r="G141">
            <v>228</v>
          </cell>
          <cell r="H141">
            <v>261</v>
          </cell>
        </row>
        <row r="142">
          <cell r="D142" t="str">
            <v>AT - Laevameeskond</v>
          </cell>
          <cell r="E142" t="str">
            <v>5A</v>
          </cell>
          <cell r="F142">
            <v>281</v>
          </cell>
          <cell r="G142">
            <v>262</v>
          </cell>
          <cell r="H142">
            <v>300</v>
          </cell>
        </row>
        <row r="143">
          <cell r="D143" t="str">
            <v>AT - Laevameeskond</v>
          </cell>
          <cell r="E143" t="str">
            <v>5B</v>
          </cell>
          <cell r="F143">
            <v>323</v>
          </cell>
          <cell r="G143">
            <v>301</v>
          </cell>
          <cell r="H143">
            <v>345</v>
          </cell>
        </row>
        <row r="144">
          <cell r="D144" t="str">
            <v>AT - Laevameeskond</v>
          </cell>
          <cell r="E144" t="str">
            <v>5C</v>
          </cell>
          <cell r="F144">
            <v>371</v>
          </cell>
          <cell r="G144">
            <v>346</v>
          </cell>
          <cell r="H144">
            <v>397</v>
          </cell>
        </row>
        <row r="145">
          <cell r="D145" t="str">
            <v>AT - Logistika</v>
          </cell>
          <cell r="E145">
            <v>1</v>
          </cell>
          <cell r="F145">
            <v>121</v>
          </cell>
          <cell r="G145">
            <v>113</v>
          </cell>
          <cell r="H145">
            <v>129</v>
          </cell>
        </row>
        <row r="146">
          <cell r="D146" t="str">
            <v>AT - Logistika</v>
          </cell>
          <cell r="E146">
            <v>2</v>
          </cell>
          <cell r="F146">
            <v>184</v>
          </cell>
          <cell r="G146">
            <v>172</v>
          </cell>
          <cell r="H146">
            <v>197</v>
          </cell>
        </row>
        <row r="147">
          <cell r="D147" t="str">
            <v>AT - Logistika</v>
          </cell>
          <cell r="E147">
            <v>3</v>
          </cell>
          <cell r="F147">
            <v>244</v>
          </cell>
          <cell r="G147">
            <v>228</v>
          </cell>
          <cell r="H147">
            <v>261</v>
          </cell>
        </row>
        <row r="148">
          <cell r="D148" t="str">
            <v>AT - Logistika</v>
          </cell>
          <cell r="E148">
            <v>4</v>
          </cell>
          <cell r="F148">
            <v>371</v>
          </cell>
          <cell r="G148">
            <v>346</v>
          </cell>
          <cell r="H148">
            <v>397</v>
          </cell>
        </row>
        <row r="149">
          <cell r="D149" t="str">
            <v>AT - Logistika</v>
          </cell>
          <cell r="E149">
            <v>5</v>
          </cell>
          <cell r="F149">
            <v>492</v>
          </cell>
          <cell r="G149">
            <v>458</v>
          </cell>
          <cell r="H149">
            <v>526</v>
          </cell>
        </row>
        <row r="150">
          <cell r="D150" t="str">
            <v>AT - Meditsiin</v>
          </cell>
          <cell r="E150">
            <v>1</v>
          </cell>
          <cell r="F150">
            <v>91</v>
          </cell>
          <cell r="G150">
            <v>85</v>
          </cell>
          <cell r="H150">
            <v>97</v>
          </cell>
        </row>
        <row r="151">
          <cell r="D151" t="str">
            <v>AT - Meditsiin</v>
          </cell>
          <cell r="E151">
            <v>2</v>
          </cell>
          <cell r="F151">
            <v>139</v>
          </cell>
          <cell r="G151">
            <v>130</v>
          </cell>
          <cell r="H151">
            <v>149</v>
          </cell>
        </row>
        <row r="152">
          <cell r="D152" t="str">
            <v>AT - Meditsiin</v>
          </cell>
          <cell r="E152">
            <v>3</v>
          </cell>
          <cell r="F152">
            <v>244</v>
          </cell>
          <cell r="G152">
            <v>228</v>
          </cell>
          <cell r="H152">
            <v>261</v>
          </cell>
        </row>
        <row r="153">
          <cell r="D153" t="str">
            <v>AT - Meditsiin</v>
          </cell>
          <cell r="E153">
            <v>4</v>
          </cell>
          <cell r="F153">
            <v>371</v>
          </cell>
          <cell r="G153">
            <v>346</v>
          </cell>
          <cell r="H153">
            <v>397</v>
          </cell>
        </row>
        <row r="154">
          <cell r="D154" t="str">
            <v>AT - Muuseumitööd</v>
          </cell>
          <cell r="E154">
            <v>1</v>
          </cell>
          <cell r="F154">
            <v>212</v>
          </cell>
          <cell r="G154">
            <v>198</v>
          </cell>
          <cell r="H154">
            <v>227</v>
          </cell>
        </row>
        <row r="155">
          <cell r="D155" t="str">
            <v>AT - Muuseumitööd</v>
          </cell>
          <cell r="E155">
            <v>2</v>
          </cell>
          <cell r="F155">
            <v>281</v>
          </cell>
          <cell r="G155">
            <v>262</v>
          </cell>
          <cell r="H155">
            <v>300</v>
          </cell>
        </row>
        <row r="156">
          <cell r="D156" t="str">
            <v>AT - Muuseumitööd</v>
          </cell>
          <cell r="E156">
            <v>3</v>
          </cell>
          <cell r="F156">
            <v>427</v>
          </cell>
          <cell r="G156">
            <v>398</v>
          </cell>
          <cell r="H156">
            <v>457</v>
          </cell>
        </row>
        <row r="157">
          <cell r="D157" t="str">
            <v>AT - Muusikud</v>
          </cell>
          <cell r="E157">
            <v>1</v>
          </cell>
          <cell r="F157">
            <v>160</v>
          </cell>
          <cell r="G157">
            <v>150</v>
          </cell>
          <cell r="H157">
            <v>171</v>
          </cell>
        </row>
        <row r="158">
          <cell r="D158" t="str">
            <v>AT - Muusikud</v>
          </cell>
          <cell r="E158">
            <v>2</v>
          </cell>
          <cell r="F158">
            <v>244</v>
          </cell>
          <cell r="G158">
            <v>228</v>
          </cell>
          <cell r="H158">
            <v>261</v>
          </cell>
        </row>
        <row r="159">
          <cell r="D159" t="str">
            <v>AT - Nõustav ja kontrolliv järelevalve</v>
          </cell>
          <cell r="E159">
            <v>1</v>
          </cell>
          <cell r="F159">
            <v>121</v>
          </cell>
          <cell r="G159">
            <v>113</v>
          </cell>
          <cell r="H159">
            <v>129</v>
          </cell>
        </row>
        <row r="160">
          <cell r="D160" t="str">
            <v>AT - Nõustav ja kontrolliv järelevalve</v>
          </cell>
          <cell r="E160" t="str">
            <v>2A</v>
          </cell>
          <cell r="F160">
            <v>184</v>
          </cell>
          <cell r="G160">
            <v>172</v>
          </cell>
          <cell r="H160">
            <v>197</v>
          </cell>
        </row>
        <row r="161">
          <cell r="D161" t="str">
            <v>AT - Nõustav ja kontrolliv järelevalve</v>
          </cell>
          <cell r="E161" t="str">
            <v>2B</v>
          </cell>
          <cell r="F161">
            <v>212</v>
          </cell>
          <cell r="G161">
            <v>198</v>
          </cell>
          <cell r="H161">
            <v>227</v>
          </cell>
        </row>
        <row r="162">
          <cell r="D162" t="str">
            <v>AT - Nõustav ja kontrolliv järelevalve</v>
          </cell>
          <cell r="E162" t="str">
            <v>3A</v>
          </cell>
          <cell r="F162">
            <v>244</v>
          </cell>
          <cell r="G162">
            <v>228</v>
          </cell>
          <cell r="H162">
            <v>261</v>
          </cell>
        </row>
        <row r="163">
          <cell r="D163" t="str">
            <v>AT - Nõustav ja kontrolliv järelevalve</v>
          </cell>
          <cell r="E163" t="str">
            <v>3B</v>
          </cell>
          <cell r="F163">
            <v>281</v>
          </cell>
          <cell r="G163">
            <v>262</v>
          </cell>
          <cell r="H163">
            <v>300</v>
          </cell>
        </row>
        <row r="164">
          <cell r="D164" t="str">
            <v>AT - Nõustav ja kontrolliv järelevalve</v>
          </cell>
          <cell r="E164">
            <v>4</v>
          </cell>
          <cell r="F164">
            <v>323</v>
          </cell>
          <cell r="G164">
            <v>301</v>
          </cell>
          <cell r="H164">
            <v>345</v>
          </cell>
        </row>
        <row r="165">
          <cell r="D165" t="str">
            <v>AT - Nõustav ja kontrolliv järelevalve</v>
          </cell>
          <cell r="E165">
            <v>5</v>
          </cell>
          <cell r="F165">
            <v>371</v>
          </cell>
          <cell r="G165">
            <v>346</v>
          </cell>
          <cell r="H165">
            <v>397</v>
          </cell>
        </row>
        <row r="166">
          <cell r="D166" t="str">
            <v>AT - Nõustav ja kontrolliv järelevalve</v>
          </cell>
          <cell r="E166">
            <v>6</v>
          </cell>
          <cell r="F166">
            <v>427</v>
          </cell>
          <cell r="G166">
            <v>398</v>
          </cell>
          <cell r="H166">
            <v>457</v>
          </cell>
        </row>
        <row r="167">
          <cell r="D167" t="str">
            <v>AT - Operatiivinfo juhtimine</v>
          </cell>
          <cell r="E167">
            <v>1</v>
          </cell>
          <cell r="F167">
            <v>121</v>
          </cell>
          <cell r="G167">
            <v>113</v>
          </cell>
          <cell r="H167">
            <v>129</v>
          </cell>
        </row>
        <row r="168">
          <cell r="D168" t="str">
            <v>AT - Operatiivinfo juhtimine</v>
          </cell>
          <cell r="E168">
            <v>2</v>
          </cell>
          <cell r="F168">
            <v>160</v>
          </cell>
          <cell r="G168">
            <v>150</v>
          </cell>
          <cell r="H168">
            <v>171</v>
          </cell>
        </row>
        <row r="169">
          <cell r="D169" t="str">
            <v>AT - Operatiivinfo juhtimine</v>
          </cell>
          <cell r="E169" t="str">
            <v>3A</v>
          </cell>
          <cell r="F169">
            <v>244</v>
          </cell>
          <cell r="G169">
            <v>228</v>
          </cell>
          <cell r="H169">
            <v>261</v>
          </cell>
        </row>
        <row r="170">
          <cell r="D170" t="str">
            <v>AT - Operatiivinfo juhtimine</v>
          </cell>
          <cell r="E170" t="str">
            <v>3B</v>
          </cell>
          <cell r="F170">
            <v>244</v>
          </cell>
          <cell r="G170">
            <v>228</v>
          </cell>
          <cell r="H170">
            <v>261</v>
          </cell>
        </row>
        <row r="171">
          <cell r="D171" t="str">
            <v>AT - Operatiivinfo juhtimine</v>
          </cell>
          <cell r="E171">
            <v>4</v>
          </cell>
          <cell r="F171">
            <v>323</v>
          </cell>
          <cell r="G171">
            <v>301</v>
          </cell>
          <cell r="H171">
            <v>345</v>
          </cell>
        </row>
        <row r="172">
          <cell r="D172" t="str">
            <v>AT - Operatiivinfo juhtimine</v>
          </cell>
          <cell r="E172">
            <v>5</v>
          </cell>
          <cell r="F172">
            <v>492</v>
          </cell>
          <cell r="G172">
            <v>458</v>
          </cell>
          <cell r="H172">
            <v>526</v>
          </cell>
        </row>
        <row r="173">
          <cell r="D173" t="str">
            <v>AT - Organisatsiooni protsessid (tegevustõhusus ja kvaliteet)</v>
          </cell>
          <cell r="E173">
            <v>1</v>
          </cell>
          <cell r="F173">
            <v>139</v>
          </cell>
          <cell r="G173">
            <v>130</v>
          </cell>
          <cell r="H173">
            <v>149</v>
          </cell>
        </row>
        <row r="174">
          <cell r="D174" t="str">
            <v>AT - Organisatsiooni protsessid (tegevustõhusus ja kvaliteet)</v>
          </cell>
          <cell r="E174">
            <v>2</v>
          </cell>
          <cell r="F174">
            <v>184</v>
          </cell>
          <cell r="G174">
            <v>172</v>
          </cell>
          <cell r="H174">
            <v>197</v>
          </cell>
        </row>
        <row r="175">
          <cell r="D175" t="str">
            <v>AT - Organisatsiooni protsessid (tegevustõhusus ja kvaliteet)</v>
          </cell>
          <cell r="E175">
            <v>3</v>
          </cell>
          <cell r="F175">
            <v>244</v>
          </cell>
          <cell r="G175">
            <v>228</v>
          </cell>
          <cell r="H175">
            <v>261</v>
          </cell>
        </row>
        <row r="176">
          <cell r="D176" t="str">
            <v>AT - Organisatsiooni protsessid (tegevustõhusus ja kvaliteet)</v>
          </cell>
          <cell r="E176">
            <v>4</v>
          </cell>
          <cell r="F176">
            <v>323</v>
          </cell>
          <cell r="G176">
            <v>301</v>
          </cell>
          <cell r="H176">
            <v>345</v>
          </cell>
        </row>
        <row r="177">
          <cell r="D177" t="str">
            <v>AT - Organisatsiooni protsessid (tegevustõhusus ja kvaliteet)</v>
          </cell>
          <cell r="E177">
            <v>5</v>
          </cell>
          <cell r="F177">
            <v>427</v>
          </cell>
          <cell r="G177">
            <v>398</v>
          </cell>
          <cell r="H177">
            <v>457</v>
          </cell>
        </row>
        <row r="178">
          <cell r="D178" t="str">
            <v>AT - Oskustööd</v>
          </cell>
          <cell r="E178">
            <v>1</v>
          </cell>
          <cell r="F178">
            <v>105</v>
          </cell>
          <cell r="G178">
            <v>98</v>
          </cell>
          <cell r="H178">
            <v>112</v>
          </cell>
        </row>
        <row r="179">
          <cell r="D179" t="str">
            <v>AT - Oskustööd</v>
          </cell>
          <cell r="E179">
            <v>2</v>
          </cell>
          <cell r="F179">
            <v>139</v>
          </cell>
          <cell r="G179">
            <v>130</v>
          </cell>
          <cell r="H179">
            <v>149</v>
          </cell>
        </row>
        <row r="180">
          <cell r="D180" t="str">
            <v>AT - Oskustööd</v>
          </cell>
          <cell r="E180">
            <v>3</v>
          </cell>
          <cell r="F180">
            <v>184</v>
          </cell>
          <cell r="G180">
            <v>172</v>
          </cell>
          <cell r="H180">
            <v>197</v>
          </cell>
        </row>
        <row r="181">
          <cell r="D181" t="str">
            <v>AT - Oskustööd</v>
          </cell>
          <cell r="E181">
            <v>4</v>
          </cell>
          <cell r="F181">
            <v>212</v>
          </cell>
          <cell r="G181">
            <v>198</v>
          </cell>
          <cell r="H181">
            <v>227</v>
          </cell>
        </row>
        <row r="182">
          <cell r="D182" t="str">
            <v>AT - Personalijuhtimine</v>
          </cell>
          <cell r="E182">
            <v>1</v>
          </cell>
          <cell r="F182">
            <v>121</v>
          </cell>
          <cell r="G182">
            <v>113</v>
          </cell>
          <cell r="H182">
            <v>129</v>
          </cell>
        </row>
        <row r="183">
          <cell r="D183" t="str">
            <v>AT - Personalijuhtimine</v>
          </cell>
          <cell r="E183">
            <v>2</v>
          </cell>
          <cell r="F183">
            <v>184</v>
          </cell>
          <cell r="G183">
            <v>172</v>
          </cell>
          <cell r="H183">
            <v>197</v>
          </cell>
        </row>
        <row r="184">
          <cell r="D184" t="str">
            <v>AT - Personalijuhtimine</v>
          </cell>
          <cell r="E184">
            <v>3</v>
          </cell>
          <cell r="F184">
            <v>244</v>
          </cell>
          <cell r="G184">
            <v>228</v>
          </cell>
          <cell r="H184">
            <v>261</v>
          </cell>
        </row>
        <row r="185">
          <cell r="D185" t="str">
            <v>AT - Personalijuhtimine</v>
          </cell>
          <cell r="E185">
            <v>4</v>
          </cell>
          <cell r="F185">
            <v>323</v>
          </cell>
          <cell r="G185">
            <v>301</v>
          </cell>
          <cell r="H185">
            <v>345</v>
          </cell>
        </row>
        <row r="186">
          <cell r="D186" t="str">
            <v>AT - Personalijuhtimine</v>
          </cell>
          <cell r="E186">
            <v>5</v>
          </cell>
          <cell r="F186">
            <v>427</v>
          </cell>
          <cell r="G186">
            <v>398</v>
          </cell>
          <cell r="H186">
            <v>457</v>
          </cell>
        </row>
        <row r="187">
          <cell r="D187" t="str">
            <v>AT - Personalijuhtimine</v>
          </cell>
          <cell r="E187">
            <v>6</v>
          </cell>
          <cell r="F187">
            <v>492</v>
          </cell>
          <cell r="G187">
            <v>458</v>
          </cell>
          <cell r="H187">
            <v>526</v>
          </cell>
        </row>
        <row r="188">
          <cell r="D188" t="str">
            <v>AT - Piloodid</v>
          </cell>
          <cell r="E188">
            <v>1</v>
          </cell>
          <cell r="F188">
            <v>212</v>
          </cell>
          <cell r="G188">
            <v>198</v>
          </cell>
          <cell r="H188">
            <v>227</v>
          </cell>
        </row>
        <row r="189">
          <cell r="D189" t="str">
            <v>AT - Piloodid</v>
          </cell>
          <cell r="E189">
            <v>2</v>
          </cell>
          <cell r="F189">
            <v>281</v>
          </cell>
          <cell r="G189">
            <v>262</v>
          </cell>
          <cell r="H189">
            <v>300</v>
          </cell>
        </row>
        <row r="190">
          <cell r="D190" t="str">
            <v>AT - Poliitika rakendamine</v>
          </cell>
          <cell r="E190">
            <v>1</v>
          </cell>
          <cell r="F190">
            <v>160</v>
          </cell>
          <cell r="G190">
            <v>150</v>
          </cell>
          <cell r="H190">
            <v>171</v>
          </cell>
        </row>
        <row r="191">
          <cell r="D191" t="str">
            <v>AT - Poliitika rakendamine</v>
          </cell>
          <cell r="E191">
            <v>2</v>
          </cell>
          <cell r="F191">
            <v>212</v>
          </cell>
          <cell r="G191">
            <v>198</v>
          </cell>
          <cell r="H191">
            <v>227</v>
          </cell>
        </row>
        <row r="192">
          <cell r="D192" t="str">
            <v>AT - Poliitika rakendamine</v>
          </cell>
          <cell r="E192">
            <v>3</v>
          </cell>
          <cell r="F192">
            <v>281</v>
          </cell>
          <cell r="G192">
            <v>262</v>
          </cell>
          <cell r="H192">
            <v>300</v>
          </cell>
        </row>
        <row r="193">
          <cell r="D193" t="str">
            <v>AT - Poliitika rakendamine</v>
          </cell>
          <cell r="E193">
            <v>4</v>
          </cell>
          <cell r="F193">
            <v>323</v>
          </cell>
          <cell r="G193">
            <v>301</v>
          </cell>
          <cell r="H193">
            <v>345</v>
          </cell>
        </row>
        <row r="194">
          <cell r="D194" t="str">
            <v>AT - Poliitika rakendamine</v>
          </cell>
          <cell r="E194">
            <v>5</v>
          </cell>
          <cell r="F194">
            <v>427</v>
          </cell>
          <cell r="G194">
            <v>398</v>
          </cell>
          <cell r="H194">
            <v>457</v>
          </cell>
        </row>
        <row r="195">
          <cell r="D195" t="str">
            <v>AT - Poliitika rakendamine</v>
          </cell>
          <cell r="E195">
            <v>6</v>
          </cell>
          <cell r="F195">
            <v>492</v>
          </cell>
          <cell r="G195">
            <v>458</v>
          </cell>
          <cell r="H195">
            <v>526</v>
          </cell>
        </row>
        <row r="196">
          <cell r="D196" t="str">
            <v>AT - Poliitika rakendamine</v>
          </cell>
          <cell r="E196">
            <v>7</v>
          </cell>
          <cell r="F196">
            <v>566</v>
          </cell>
          <cell r="G196">
            <v>527</v>
          </cell>
          <cell r="H196">
            <v>605</v>
          </cell>
        </row>
        <row r="197">
          <cell r="D197" t="str">
            <v>AT - Projektijuhtimine</v>
          </cell>
          <cell r="E197">
            <v>1</v>
          </cell>
          <cell r="F197">
            <v>160</v>
          </cell>
          <cell r="G197">
            <v>150</v>
          </cell>
          <cell r="H197">
            <v>171</v>
          </cell>
        </row>
        <row r="198">
          <cell r="D198" t="str">
            <v>AT - Projektijuhtimine</v>
          </cell>
          <cell r="E198">
            <v>2</v>
          </cell>
          <cell r="F198">
            <v>212</v>
          </cell>
          <cell r="G198">
            <v>198</v>
          </cell>
          <cell r="H198">
            <v>227</v>
          </cell>
        </row>
        <row r="199">
          <cell r="D199" t="str">
            <v>AT - Projektijuhtimine</v>
          </cell>
          <cell r="E199">
            <v>3</v>
          </cell>
          <cell r="F199">
            <v>323</v>
          </cell>
          <cell r="G199">
            <v>301</v>
          </cell>
          <cell r="H199">
            <v>345</v>
          </cell>
        </row>
        <row r="200">
          <cell r="D200" t="str">
            <v>AT - Projektijuhtimine</v>
          </cell>
          <cell r="E200">
            <v>4</v>
          </cell>
          <cell r="F200">
            <v>427</v>
          </cell>
          <cell r="G200">
            <v>398</v>
          </cell>
          <cell r="H200">
            <v>457</v>
          </cell>
        </row>
        <row r="201">
          <cell r="D201" t="str">
            <v>AT - Päästetööd</v>
          </cell>
          <cell r="E201">
            <v>1</v>
          </cell>
          <cell r="F201">
            <v>139</v>
          </cell>
          <cell r="G201">
            <v>130</v>
          </cell>
          <cell r="H201">
            <v>149</v>
          </cell>
        </row>
        <row r="202">
          <cell r="D202" t="str">
            <v>AT - Päästetööd</v>
          </cell>
          <cell r="E202">
            <v>2</v>
          </cell>
          <cell r="F202">
            <v>184</v>
          </cell>
          <cell r="G202">
            <v>172</v>
          </cell>
          <cell r="H202">
            <v>197</v>
          </cell>
        </row>
        <row r="203">
          <cell r="D203" t="str">
            <v>AT - Päästetööd</v>
          </cell>
          <cell r="E203">
            <v>3</v>
          </cell>
          <cell r="F203">
            <v>212</v>
          </cell>
          <cell r="G203">
            <v>198</v>
          </cell>
          <cell r="H203">
            <v>227</v>
          </cell>
        </row>
        <row r="204">
          <cell r="D204" t="str">
            <v>AT - Päästetööd</v>
          </cell>
          <cell r="E204">
            <v>4</v>
          </cell>
          <cell r="F204">
            <v>244</v>
          </cell>
          <cell r="G204">
            <v>228</v>
          </cell>
          <cell r="H204">
            <v>261</v>
          </cell>
        </row>
        <row r="205">
          <cell r="D205" t="str">
            <v>AT - Päästetööd</v>
          </cell>
          <cell r="E205">
            <v>5</v>
          </cell>
          <cell r="F205">
            <v>323</v>
          </cell>
          <cell r="G205">
            <v>301</v>
          </cell>
          <cell r="H205">
            <v>345</v>
          </cell>
        </row>
        <row r="206">
          <cell r="D206" t="str">
            <v>AT - Päästetööd</v>
          </cell>
          <cell r="E206">
            <v>6</v>
          </cell>
          <cell r="F206">
            <v>427</v>
          </cell>
          <cell r="G206">
            <v>398</v>
          </cell>
          <cell r="H206">
            <v>457</v>
          </cell>
        </row>
        <row r="207">
          <cell r="D207" t="str">
            <v>AT - Raamatukogu</v>
          </cell>
          <cell r="E207">
            <v>1</v>
          </cell>
          <cell r="F207">
            <v>121</v>
          </cell>
          <cell r="G207">
            <v>113</v>
          </cell>
          <cell r="H207">
            <v>129</v>
          </cell>
        </row>
        <row r="208">
          <cell r="D208" t="str">
            <v>AT - Raamatukogu</v>
          </cell>
          <cell r="E208">
            <v>2</v>
          </cell>
          <cell r="F208">
            <v>184</v>
          </cell>
          <cell r="G208">
            <v>172</v>
          </cell>
          <cell r="H208">
            <v>197</v>
          </cell>
        </row>
        <row r="209">
          <cell r="D209" t="str">
            <v>AT - Raamatukogu</v>
          </cell>
          <cell r="E209">
            <v>3</v>
          </cell>
          <cell r="F209">
            <v>244</v>
          </cell>
          <cell r="G209">
            <v>228</v>
          </cell>
          <cell r="H209">
            <v>261</v>
          </cell>
        </row>
        <row r="210">
          <cell r="D210" t="str">
            <v>AT - Raamatukogu</v>
          </cell>
          <cell r="E210">
            <v>4</v>
          </cell>
          <cell r="F210">
            <v>427</v>
          </cell>
          <cell r="G210">
            <v>398</v>
          </cell>
          <cell r="H210">
            <v>457</v>
          </cell>
        </row>
        <row r="211">
          <cell r="D211" t="str">
            <v>AT - Raamatupidamine</v>
          </cell>
          <cell r="E211">
            <v>1</v>
          </cell>
          <cell r="F211">
            <v>105</v>
          </cell>
          <cell r="G211">
            <v>98</v>
          </cell>
          <cell r="H211">
            <v>112</v>
          </cell>
        </row>
        <row r="212">
          <cell r="D212" t="str">
            <v>AT - Raamatupidamine</v>
          </cell>
          <cell r="E212">
            <v>2</v>
          </cell>
          <cell r="F212">
            <v>184</v>
          </cell>
          <cell r="G212">
            <v>172</v>
          </cell>
          <cell r="H212">
            <v>197</v>
          </cell>
        </row>
        <row r="213">
          <cell r="D213" t="str">
            <v>AT - Raamatupidamine</v>
          </cell>
          <cell r="E213">
            <v>3</v>
          </cell>
          <cell r="F213">
            <v>244</v>
          </cell>
          <cell r="G213">
            <v>228</v>
          </cell>
          <cell r="H213">
            <v>261</v>
          </cell>
        </row>
        <row r="214">
          <cell r="D214" t="str">
            <v>AT - Raamatupidamine</v>
          </cell>
          <cell r="E214">
            <v>4</v>
          </cell>
          <cell r="F214">
            <v>371</v>
          </cell>
          <cell r="G214">
            <v>346</v>
          </cell>
          <cell r="H214">
            <v>397</v>
          </cell>
        </row>
        <row r="215">
          <cell r="D215" t="str">
            <v>AT - Raamatupidamine</v>
          </cell>
          <cell r="E215">
            <v>5</v>
          </cell>
          <cell r="F215">
            <v>492</v>
          </cell>
          <cell r="G215">
            <v>458</v>
          </cell>
          <cell r="H215">
            <v>526</v>
          </cell>
        </row>
        <row r="216">
          <cell r="D216" t="str">
            <v>AT - Registripidamine</v>
          </cell>
          <cell r="E216">
            <v>1</v>
          </cell>
          <cell r="F216">
            <v>121</v>
          </cell>
          <cell r="G216">
            <v>113</v>
          </cell>
          <cell r="H216">
            <v>129</v>
          </cell>
        </row>
        <row r="217">
          <cell r="D217" t="str">
            <v>AT - Registripidamine</v>
          </cell>
          <cell r="E217">
            <v>2</v>
          </cell>
          <cell r="F217">
            <v>184</v>
          </cell>
          <cell r="G217">
            <v>172</v>
          </cell>
          <cell r="H217">
            <v>197</v>
          </cell>
        </row>
        <row r="218">
          <cell r="D218" t="str">
            <v>AT - Registripidamine</v>
          </cell>
          <cell r="E218">
            <v>3</v>
          </cell>
          <cell r="F218">
            <v>212</v>
          </cell>
          <cell r="G218">
            <v>198</v>
          </cell>
          <cell r="H218">
            <v>227</v>
          </cell>
        </row>
        <row r="219">
          <cell r="D219" t="str">
            <v>AT - Registripidamine</v>
          </cell>
          <cell r="E219">
            <v>4</v>
          </cell>
          <cell r="F219">
            <v>281</v>
          </cell>
          <cell r="G219">
            <v>262</v>
          </cell>
          <cell r="H219">
            <v>300</v>
          </cell>
        </row>
        <row r="220">
          <cell r="D220" t="str">
            <v>AT - Registripidamine</v>
          </cell>
          <cell r="E220">
            <v>5</v>
          </cell>
          <cell r="F220">
            <v>427</v>
          </cell>
          <cell r="G220">
            <v>398</v>
          </cell>
          <cell r="H220">
            <v>457</v>
          </cell>
        </row>
        <row r="221">
          <cell r="D221" t="str">
            <v>AT - Riigihange</v>
          </cell>
          <cell r="E221">
            <v>1</v>
          </cell>
          <cell r="F221">
            <v>121</v>
          </cell>
          <cell r="G221">
            <v>113</v>
          </cell>
          <cell r="H221">
            <v>129</v>
          </cell>
        </row>
        <row r="222">
          <cell r="D222" t="str">
            <v>AT - Riigihange</v>
          </cell>
          <cell r="E222">
            <v>2</v>
          </cell>
          <cell r="F222">
            <v>212</v>
          </cell>
          <cell r="G222">
            <v>198</v>
          </cell>
          <cell r="H222">
            <v>227</v>
          </cell>
        </row>
        <row r="223">
          <cell r="D223" t="str">
            <v>AT - Riigihange</v>
          </cell>
          <cell r="E223">
            <v>3</v>
          </cell>
          <cell r="F223">
            <v>281</v>
          </cell>
          <cell r="G223">
            <v>262</v>
          </cell>
          <cell r="H223">
            <v>300</v>
          </cell>
        </row>
        <row r="224">
          <cell r="D224" t="str">
            <v>AT - Riigihange</v>
          </cell>
          <cell r="E224" t="str">
            <v>4A</v>
          </cell>
          <cell r="F224">
            <v>323</v>
          </cell>
          <cell r="G224">
            <v>301</v>
          </cell>
          <cell r="H224">
            <v>345</v>
          </cell>
        </row>
        <row r="225">
          <cell r="D225" t="str">
            <v>AT - Riigihange</v>
          </cell>
          <cell r="E225" t="str">
            <v>4B</v>
          </cell>
          <cell r="F225">
            <v>323</v>
          </cell>
          <cell r="G225">
            <v>301</v>
          </cell>
          <cell r="H225">
            <v>345</v>
          </cell>
        </row>
        <row r="226">
          <cell r="D226" t="str">
            <v>AT - Riigihange</v>
          </cell>
          <cell r="E226">
            <v>5</v>
          </cell>
          <cell r="F226">
            <v>427</v>
          </cell>
          <cell r="G226">
            <v>398</v>
          </cell>
          <cell r="H226">
            <v>457</v>
          </cell>
        </row>
        <row r="227">
          <cell r="D227" t="str">
            <v>AT - Riigikaitse</v>
          </cell>
          <cell r="E227" t="str">
            <v>1A</v>
          </cell>
          <cell r="F227">
            <v>105</v>
          </cell>
          <cell r="G227">
            <v>98</v>
          </cell>
          <cell r="H227">
            <v>112</v>
          </cell>
        </row>
        <row r="228">
          <cell r="D228" t="str">
            <v>AT - Riigikaitse</v>
          </cell>
          <cell r="E228" t="str">
            <v>1B</v>
          </cell>
          <cell r="F228">
            <v>121</v>
          </cell>
          <cell r="G228">
            <v>113</v>
          </cell>
          <cell r="H228">
            <v>129</v>
          </cell>
        </row>
        <row r="229">
          <cell r="D229" t="str">
            <v>AT - Riigikaitse</v>
          </cell>
          <cell r="E229">
            <v>2</v>
          </cell>
          <cell r="F229">
            <v>139</v>
          </cell>
          <cell r="G229">
            <v>130</v>
          </cell>
          <cell r="H229">
            <v>149</v>
          </cell>
        </row>
        <row r="230">
          <cell r="D230" t="str">
            <v>AT - Riigikaitse</v>
          </cell>
          <cell r="E230" t="str">
            <v>3A</v>
          </cell>
          <cell r="F230">
            <v>184</v>
          </cell>
          <cell r="G230">
            <v>172</v>
          </cell>
          <cell r="H230">
            <v>197</v>
          </cell>
        </row>
        <row r="231">
          <cell r="D231" t="str">
            <v>AT - Riigikaitse</v>
          </cell>
          <cell r="E231" t="str">
            <v>3B</v>
          </cell>
          <cell r="F231">
            <v>212</v>
          </cell>
          <cell r="G231">
            <v>198</v>
          </cell>
          <cell r="H231">
            <v>227</v>
          </cell>
        </row>
        <row r="232">
          <cell r="D232" t="str">
            <v>AT - Riigikaitse</v>
          </cell>
          <cell r="E232">
            <v>4</v>
          </cell>
          <cell r="F232">
            <v>281</v>
          </cell>
          <cell r="G232">
            <v>262</v>
          </cell>
          <cell r="H232">
            <v>300</v>
          </cell>
        </row>
        <row r="233">
          <cell r="D233" t="str">
            <v>AT - Riigikaitse</v>
          </cell>
          <cell r="E233" t="str">
            <v>5A</v>
          </cell>
          <cell r="F233">
            <v>371</v>
          </cell>
          <cell r="G233">
            <v>346</v>
          </cell>
          <cell r="H233">
            <v>397</v>
          </cell>
        </row>
        <row r="234">
          <cell r="D234" t="str">
            <v>AT - Riigikaitse</v>
          </cell>
          <cell r="E234" t="str">
            <v>5B</v>
          </cell>
          <cell r="F234">
            <v>492</v>
          </cell>
          <cell r="G234">
            <v>458</v>
          </cell>
          <cell r="H234">
            <v>526</v>
          </cell>
        </row>
        <row r="235">
          <cell r="D235" t="str">
            <v>AT - Riigikaitse</v>
          </cell>
          <cell r="E235">
            <v>6</v>
          </cell>
          <cell r="F235">
            <v>566</v>
          </cell>
          <cell r="G235">
            <v>527</v>
          </cell>
          <cell r="H235">
            <v>605</v>
          </cell>
        </row>
        <row r="236">
          <cell r="D236" t="str">
            <v>AT - Riigikaitse</v>
          </cell>
          <cell r="E236">
            <v>7</v>
          </cell>
          <cell r="F236">
            <v>651</v>
          </cell>
          <cell r="G236">
            <v>606</v>
          </cell>
          <cell r="H236">
            <v>696</v>
          </cell>
        </row>
        <row r="237">
          <cell r="D237" t="str">
            <v>AT - Riigikaitse</v>
          </cell>
          <cell r="E237">
            <v>8</v>
          </cell>
          <cell r="F237">
            <v>995</v>
          </cell>
          <cell r="G237">
            <v>926</v>
          </cell>
          <cell r="H237">
            <v>1066</v>
          </cell>
        </row>
        <row r="238">
          <cell r="D238" t="str">
            <v>AT - Riigivara haldamine ja sisseost</v>
          </cell>
          <cell r="E238">
            <v>1</v>
          </cell>
          <cell r="F238">
            <v>79</v>
          </cell>
          <cell r="G238">
            <v>74</v>
          </cell>
          <cell r="H238">
            <v>84</v>
          </cell>
        </row>
        <row r="239">
          <cell r="D239" t="str">
            <v>AT - Riigivara haldamine ja sisseost</v>
          </cell>
          <cell r="E239">
            <v>2</v>
          </cell>
          <cell r="F239">
            <v>121</v>
          </cell>
          <cell r="G239">
            <v>113</v>
          </cell>
          <cell r="H239">
            <v>129</v>
          </cell>
        </row>
        <row r="240">
          <cell r="D240" t="str">
            <v>AT - Riigivara haldamine ja sisseost</v>
          </cell>
          <cell r="E240">
            <v>3</v>
          </cell>
          <cell r="F240">
            <v>160</v>
          </cell>
          <cell r="G240">
            <v>150</v>
          </cell>
          <cell r="H240">
            <v>171</v>
          </cell>
        </row>
        <row r="241">
          <cell r="D241" t="str">
            <v>AT - Riigivara haldamine ja sisseost</v>
          </cell>
          <cell r="E241">
            <v>4</v>
          </cell>
          <cell r="F241">
            <v>244</v>
          </cell>
          <cell r="G241">
            <v>228</v>
          </cell>
          <cell r="H241">
            <v>261</v>
          </cell>
        </row>
        <row r="242">
          <cell r="D242" t="str">
            <v>AT - Riigivara haldamine ja sisseost</v>
          </cell>
          <cell r="E242" t="str">
            <v>5A</v>
          </cell>
          <cell r="F242">
            <v>281</v>
          </cell>
          <cell r="G242">
            <v>262</v>
          </cell>
          <cell r="H242">
            <v>300</v>
          </cell>
        </row>
        <row r="243">
          <cell r="D243" t="str">
            <v>AT - Riigivara haldamine ja sisseost</v>
          </cell>
          <cell r="E243" t="str">
            <v>5B</v>
          </cell>
          <cell r="F243">
            <v>281</v>
          </cell>
          <cell r="G243">
            <v>262</v>
          </cell>
          <cell r="H243">
            <v>300</v>
          </cell>
        </row>
        <row r="244">
          <cell r="D244" t="str">
            <v>AT - Riigivara haldamine ja sisseost</v>
          </cell>
          <cell r="E244">
            <v>6</v>
          </cell>
          <cell r="F244">
            <v>492</v>
          </cell>
          <cell r="G244">
            <v>458</v>
          </cell>
          <cell r="H244">
            <v>526</v>
          </cell>
        </row>
        <row r="245">
          <cell r="D245" t="str">
            <v>AT - Sadama kapten</v>
          </cell>
          <cell r="E245">
            <v>1</v>
          </cell>
          <cell r="F245">
            <v>212</v>
          </cell>
          <cell r="G245">
            <v>198</v>
          </cell>
          <cell r="H245">
            <v>227</v>
          </cell>
        </row>
        <row r="246">
          <cell r="D246" t="str">
            <v>AT - Sadama kapten</v>
          </cell>
          <cell r="E246">
            <v>2</v>
          </cell>
          <cell r="F246">
            <v>323</v>
          </cell>
          <cell r="G246">
            <v>301</v>
          </cell>
          <cell r="H246">
            <v>345</v>
          </cell>
        </row>
        <row r="247">
          <cell r="D247" t="str">
            <v>AT - Sekretäritööd</v>
          </cell>
          <cell r="E247">
            <v>1</v>
          </cell>
          <cell r="F247">
            <v>105</v>
          </cell>
          <cell r="G247">
            <v>98</v>
          </cell>
          <cell r="H247">
            <v>112</v>
          </cell>
        </row>
        <row r="248">
          <cell r="D248" t="str">
            <v>AT - Sekretäritööd</v>
          </cell>
          <cell r="E248">
            <v>2</v>
          </cell>
          <cell r="F248">
            <v>139</v>
          </cell>
          <cell r="G248">
            <v>130</v>
          </cell>
          <cell r="H248">
            <v>149</v>
          </cell>
        </row>
        <row r="249">
          <cell r="D249" t="str">
            <v>AT - Sekretäritööd</v>
          </cell>
          <cell r="E249">
            <v>3</v>
          </cell>
          <cell r="F249">
            <v>184</v>
          </cell>
          <cell r="G249">
            <v>172</v>
          </cell>
          <cell r="H249">
            <v>197</v>
          </cell>
        </row>
        <row r="250">
          <cell r="D250" t="str">
            <v>AT - Sekretäritööd</v>
          </cell>
          <cell r="E250">
            <v>4</v>
          </cell>
          <cell r="F250">
            <v>281</v>
          </cell>
          <cell r="G250">
            <v>262</v>
          </cell>
          <cell r="H250">
            <v>300</v>
          </cell>
        </row>
        <row r="251">
          <cell r="D251" t="str">
            <v>AT - Sisekontroll</v>
          </cell>
          <cell r="E251">
            <v>1</v>
          </cell>
          <cell r="F251">
            <v>139</v>
          </cell>
          <cell r="G251">
            <v>130</v>
          </cell>
          <cell r="H251">
            <v>149</v>
          </cell>
        </row>
        <row r="252">
          <cell r="D252" t="str">
            <v>AT - Sisekontroll</v>
          </cell>
          <cell r="E252">
            <v>2</v>
          </cell>
          <cell r="F252">
            <v>184</v>
          </cell>
          <cell r="G252">
            <v>172</v>
          </cell>
          <cell r="H252">
            <v>197</v>
          </cell>
        </row>
        <row r="253">
          <cell r="D253" t="str">
            <v>AT - Sisekontroll</v>
          </cell>
          <cell r="E253">
            <v>3</v>
          </cell>
          <cell r="F253">
            <v>281</v>
          </cell>
          <cell r="G253">
            <v>262</v>
          </cell>
          <cell r="H253">
            <v>300</v>
          </cell>
        </row>
        <row r="254">
          <cell r="D254" t="str">
            <v>AT - Sisekontroll</v>
          </cell>
          <cell r="E254">
            <v>4</v>
          </cell>
          <cell r="F254">
            <v>427</v>
          </cell>
          <cell r="G254">
            <v>398</v>
          </cell>
          <cell r="H254">
            <v>457</v>
          </cell>
        </row>
        <row r="255">
          <cell r="D255" t="str">
            <v>AT - Sotsiaalhoolekanne</v>
          </cell>
          <cell r="E255" t="str">
            <v>1A</v>
          </cell>
          <cell r="F255">
            <v>212</v>
          </cell>
          <cell r="G255">
            <v>198</v>
          </cell>
          <cell r="H255">
            <v>227</v>
          </cell>
        </row>
        <row r="256">
          <cell r="D256" t="str">
            <v>AT - Sotsiaalhoolekanne</v>
          </cell>
          <cell r="E256" t="str">
            <v>1B</v>
          </cell>
          <cell r="F256">
            <v>212</v>
          </cell>
          <cell r="G256">
            <v>198</v>
          </cell>
          <cell r="H256">
            <v>227</v>
          </cell>
        </row>
        <row r="257">
          <cell r="D257" t="str">
            <v>AT - Sotsiaalhoolekanne</v>
          </cell>
          <cell r="E257" t="str">
            <v>2A</v>
          </cell>
          <cell r="F257">
            <v>281</v>
          </cell>
          <cell r="G257">
            <v>262</v>
          </cell>
          <cell r="H257">
            <v>300</v>
          </cell>
        </row>
        <row r="258">
          <cell r="D258" t="str">
            <v>AT - Sotsiaalhoolekanne</v>
          </cell>
          <cell r="E258" t="str">
            <v>2B</v>
          </cell>
          <cell r="F258">
            <v>281</v>
          </cell>
          <cell r="G258">
            <v>262</v>
          </cell>
          <cell r="H258">
            <v>300</v>
          </cell>
        </row>
        <row r="259">
          <cell r="D259" t="str">
            <v>AT - Sotsiaalhoolekanne</v>
          </cell>
          <cell r="E259" t="str">
            <v>3A</v>
          </cell>
          <cell r="F259">
            <v>371</v>
          </cell>
          <cell r="G259">
            <v>346</v>
          </cell>
          <cell r="H259">
            <v>397</v>
          </cell>
        </row>
        <row r="260">
          <cell r="D260" t="str">
            <v>AT - Sotsiaalhoolekanne</v>
          </cell>
          <cell r="E260" t="str">
            <v>3B</v>
          </cell>
          <cell r="F260">
            <v>371</v>
          </cell>
          <cell r="G260">
            <v>346</v>
          </cell>
          <cell r="H260">
            <v>397</v>
          </cell>
        </row>
        <row r="261">
          <cell r="D261" t="str">
            <v>AT - Sotsiaalhoolekanne</v>
          </cell>
          <cell r="E261">
            <v>4</v>
          </cell>
          <cell r="F261">
            <v>427</v>
          </cell>
          <cell r="G261">
            <v>398</v>
          </cell>
          <cell r="H261">
            <v>457</v>
          </cell>
        </row>
        <row r="262">
          <cell r="D262" t="str">
            <v>AT - Sõidukijuhid</v>
          </cell>
          <cell r="E262">
            <v>1</v>
          </cell>
          <cell r="F262">
            <v>91</v>
          </cell>
          <cell r="G262">
            <v>85</v>
          </cell>
          <cell r="H262">
            <v>97</v>
          </cell>
        </row>
        <row r="263">
          <cell r="D263" t="str">
            <v>AT - Sõidukijuhid</v>
          </cell>
          <cell r="E263">
            <v>2</v>
          </cell>
          <cell r="F263">
            <v>121</v>
          </cell>
          <cell r="G263">
            <v>113</v>
          </cell>
          <cell r="H263">
            <v>129</v>
          </cell>
        </row>
        <row r="264">
          <cell r="D264" t="str">
            <v>AT - Sõidukijuhid</v>
          </cell>
          <cell r="E264">
            <v>3</v>
          </cell>
          <cell r="F264">
            <v>139</v>
          </cell>
          <cell r="G264">
            <v>130</v>
          </cell>
          <cell r="H264">
            <v>149</v>
          </cell>
        </row>
        <row r="265">
          <cell r="D265" t="str">
            <v>AT - Sõidukijuhid</v>
          </cell>
          <cell r="E265">
            <v>4</v>
          </cell>
          <cell r="F265">
            <v>160</v>
          </cell>
          <cell r="G265">
            <v>150</v>
          </cell>
          <cell r="H265">
            <v>171</v>
          </cell>
        </row>
        <row r="266">
          <cell r="D266" t="str">
            <v>AT - Toimetamine ja keeleline korrektuur</v>
          </cell>
          <cell r="E266">
            <v>1</v>
          </cell>
          <cell r="F266">
            <v>160</v>
          </cell>
          <cell r="G266">
            <v>150</v>
          </cell>
          <cell r="H266">
            <v>171</v>
          </cell>
        </row>
        <row r="267">
          <cell r="D267" t="str">
            <v>AT - Toimetamine ja keeleline korrektuur</v>
          </cell>
          <cell r="E267">
            <v>2</v>
          </cell>
          <cell r="F267">
            <v>212</v>
          </cell>
          <cell r="G267">
            <v>198</v>
          </cell>
          <cell r="H267">
            <v>227</v>
          </cell>
        </row>
        <row r="268">
          <cell r="D268" t="str">
            <v>AT - Tõlkimine</v>
          </cell>
          <cell r="E268">
            <v>1</v>
          </cell>
          <cell r="F268">
            <v>160</v>
          </cell>
          <cell r="G268">
            <v>150</v>
          </cell>
          <cell r="H268">
            <v>171</v>
          </cell>
        </row>
        <row r="269">
          <cell r="D269" t="str">
            <v>AT - Tõlkimine</v>
          </cell>
          <cell r="E269">
            <v>2</v>
          </cell>
          <cell r="F269">
            <v>212</v>
          </cell>
          <cell r="G269">
            <v>198</v>
          </cell>
          <cell r="H269">
            <v>227</v>
          </cell>
        </row>
        <row r="270">
          <cell r="D270" t="str">
            <v>AT - Tõlkimine</v>
          </cell>
          <cell r="E270">
            <v>3</v>
          </cell>
          <cell r="F270">
            <v>323</v>
          </cell>
          <cell r="G270">
            <v>301</v>
          </cell>
          <cell r="H270">
            <v>345</v>
          </cell>
        </row>
        <row r="271">
          <cell r="D271" t="str">
            <v>AT - Tõlkimine</v>
          </cell>
          <cell r="E271">
            <v>4</v>
          </cell>
          <cell r="F271">
            <v>371</v>
          </cell>
          <cell r="G271">
            <v>346</v>
          </cell>
          <cell r="H271">
            <v>397</v>
          </cell>
        </row>
        <row r="272">
          <cell r="D272" t="str">
            <v>AT - Uuriv järelevalve</v>
          </cell>
          <cell r="E272">
            <v>1</v>
          </cell>
          <cell r="F272">
            <v>160</v>
          </cell>
          <cell r="G272">
            <v>150</v>
          </cell>
          <cell r="H272">
            <v>171</v>
          </cell>
        </row>
        <row r="273">
          <cell r="D273" t="str">
            <v>AT - Uuriv järelevalve</v>
          </cell>
          <cell r="E273">
            <v>2</v>
          </cell>
          <cell r="F273">
            <v>184</v>
          </cell>
          <cell r="G273">
            <v>172</v>
          </cell>
          <cell r="H273">
            <v>197</v>
          </cell>
        </row>
        <row r="274">
          <cell r="D274" t="str">
            <v>AT - Uuriv järelevalve</v>
          </cell>
          <cell r="E274">
            <v>3</v>
          </cell>
          <cell r="F274">
            <v>244</v>
          </cell>
          <cell r="G274">
            <v>228</v>
          </cell>
          <cell r="H274">
            <v>261</v>
          </cell>
        </row>
        <row r="275">
          <cell r="D275" t="str">
            <v>AT - Uuriv järelevalve</v>
          </cell>
          <cell r="E275">
            <v>4</v>
          </cell>
          <cell r="F275">
            <v>323</v>
          </cell>
          <cell r="G275">
            <v>301</v>
          </cell>
          <cell r="H275">
            <v>345</v>
          </cell>
        </row>
        <row r="276">
          <cell r="D276" t="str">
            <v>AT - Uuriv järelevalve</v>
          </cell>
          <cell r="E276">
            <v>5</v>
          </cell>
          <cell r="F276">
            <v>371</v>
          </cell>
          <cell r="G276">
            <v>346</v>
          </cell>
          <cell r="H276">
            <v>397</v>
          </cell>
        </row>
        <row r="277">
          <cell r="D277" t="str">
            <v>AT - Uuriv järelevalve</v>
          </cell>
          <cell r="E277">
            <v>6</v>
          </cell>
          <cell r="F277">
            <v>492</v>
          </cell>
          <cell r="G277">
            <v>458</v>
          </cell>
          <cell r="H277">
            <v>526</v>
          </cell>
        </row>
        <row r="278">
          <cell r="D278" t="str">
            <v>AT - Võrguväljaannetes teabe avaldamine</v>
          </cell>
          <cell r="E278">
            <v>1</v>
          </cell>
          <cell r="F278">
            <v>121</v>
          </cell>
          <cell r="G278">
            <v>113</v>
          </cell>
          <cell r="H278">
            <v>129</v>
          </cell>
        </row>
        <row r="279">
          <cell r="D279" t="str">
            <v>AT - Võrguväljaannetes teabe avaldamine</v>
          </cell>
          <cell r="E279">
            <v>2</v>
          </cell>
          <cell r="F279">
            <v>184</v>
          </cell>
          <cell r="G279">
            <v>172</v>
          </cell>
          <cell r="H279">
            <v>197</v>
          </cell>
        </row>
        <row r="280">
          <cell r="D280" t="str">
            <v>AT - Võrguväljaannetes teabe avaldamine</v>
          </cell>
          <cell r="E280">
            <v>3</v>
          </cell>
          <cell r="F280">
            <v>212</v>
          </cell>
          <cell r="G280">
            <v>198</v>
          </cell>
          <cell r="H280">
            <v>227</v>
          </cell>
        </row>
        <row r="281">
          <cell r="D281" t="str">
            <v>AT - Võrguväljaannetes teabe avaldamine</v>
          </cell>
          <cell r="E281">
            <v>4</v>
          </cell>
          <cell r="F281">
            <v>281</v>
          </cell>
          <cell r="G281">
            <v>262</v>
          </cell>
          <cell r="H281">
            <v>300</v>
          </cell>
        </row>
        <row r="282">
          <cell r="D282" t="str">
            <v>AT - Õigusemõistmine</v>
          </cell>
          <cell r="E282">
            <v>1</v>
          </cell>
          <cell r="F282">
            <v>139</v>
          </cell>
          <cell r="G282">
            <v>130</v>
          </cell>
          <cell r="H282">
            <v>149</v>
          </cell>
        </row>
        <row r="283">
          <cell r="D283" t="str">
            <v>AT - Õigusemõistmine</v>
          </cell>
          <cell r="E283">
            <v>2</v>
          </cell>
          <cell r="F283">
            <v>160</v>
          </cell>
          <cell r="G283">
            <v>150</v>
          </cell>
          <cell r="H283">
            <v>171</v>
          </cell>
        </row>
        <row r="284">
          <cell r="D284" t="str">
            <v>AT - Õigusemõistmine</v>
          </cell>
          <cell r="E284" t="str">
            <v>3A</v>
          </cell>
          <cell r="F284">
            <v>244</v>
          </cell>
          <cell r="G284">
            <v>228</v>
          </cell>
          <cell r="H284">
            <v>261</v>
          </cell>
        </row>
        <row r="285">
          <cell r="D285" t="str">
            <v>AT - Õigusemõistmine</v>
          </cell>
          <cell r="E285" t="str">
            <v>3B</v>
          </cell>
          <cell r="F285">
            <v>281</v>
          </cell>
          <cell r="G285">
            <v>262</v>
          </cell>
          <cell r="H285">
            <v>300</v>
          </cell>
        </row>
        <row r="286">
          <cell r="D286" t="str">
            <v>AT - Õigusemõistmine</v>
          </cell>
          <cell r="E286" t="str">
            <v>3C</v>
          </cell>
          <cell r="F286">
            <v>323</v>
          </cell>
          <cell r="G286">
            <v>301</v>
          </cell>
          <cell r="H286">
            <v>345</v>
          </cell>
        </row>
        <row r="287">
          <cell r="D287" t="str">
            <v>AT - Õigusemõistmine</v>
          </cell>
          <cell r="E287" t="str">
            <v>4A</v>
          </cell>
          <cell r="F287">
            <v>371</v>
          </cell>
          <cell r="G287">
            <v>346</v>
          </cell>
          <cell r="H287">
            <v>397</v>
          </cell>
        </row>
        <row r="288">
          <cell r="D288" t="str">
            <v>AT - Õigusemõistmine</v>
          </cell>
          <cell r="E288" t="str">
            <v>4B</v>
          </cell>
          <cell r="F288">
            <v>427</v>
          </cell>
          <cell r="G288">
            <v>398</v>
          </cell>
          <cell r="H288">
            <v>457</v>
          </cell>
        </row>
        <row r="289">
          <cell r="D289" t="str">
            <v>AT - Õigusemõistmine</v>
          </cell>
          <cell r="E289">
            <v>5</v>
          </cell>
          <cell r="F289">
            <v>566</v>
          </cell>
          <cell r="G289">
            <v>527</v>
          </cell>
          <cell r="H289">
            <v>605</v>
          </cell>
        </row>
        <row r="290">
          <cell r="D290" t="str">
            <v>AT - Õigusloome</v>
          </cell>
          <cell r="E290">
            <v>1</v>
          </cell>
          <cell r="F290">
            <v>184</v>
          </cell>
          <cell r="G290">
            <v>172</v>
          </cell>
          <cell r="H290">
            <v>197</v>
          </cell>
        </row>
        <row r="291">
          <cell r="D291" t="str">
            <v>AT - Õigusloome</v>
          </cell>
          <cell r="E291">
            <v>2</v>
          </cell>
          <cell r="F291">
            <v>244</v>
          </cell>
          <cell r="G291">
            <v>228</v>
          </cell>
          <cell r="H291">
            <v>261</v>
          </cell>
        </row>
        <row r="292">
          <cell r="D292" t="str">
            <v>AT - Õigusloome</v>
          </cell>
          <cell r="E292">
            <v>3</v>
          </cell>
          <cell r="F292">
            <v>323</v>
          </cell>
          <cell r="G292">
            <v>301</v>
          </cell>
          <cell r="H292">
            <v>345</v>
          </cell>
        </row>
        <row r="293">
          <cell r="D293" t="str">
            <v>AT - Õigusloome</v>
          </cell>
          <cell r="E293">
            <v>4</v>
          </cell>
          <cell r="F293">
            <v>492</v>
          </cell>
          <cell r="G293">
            <v>458</v>
          </cell>
          <cell r="H293">
            <v>526</v>
          </cell>
        </row>
        <row r="294">
          <cell r="D294" t="str">
            <v>AT - Õigusteenused</v>
          </cell>
          <cell r="E294">
            <v>1</v>
          </cell>
          <cell r="F294">
            <v>160</v>
          </cell>
          <cell r="G294">
            <v>150</v>
          </cell>
          <cell r="H294">
            <v>171</v>
          </cell>
        </row>
        <row r="295">
          <cell r="D295" t="str">
            <v>AT - Õigusteenused</v>
          </cell>
          <cell r="E295">
            <v>2</v>
          </cell>
          <cell r="F295">
            <v>244</v>
          </cell>
          <cell r="G295">
            <v>228</v>
          </cell>
          <cell r="H295">
            <v>261</v>
          </cell>
        </row>
        <row r="296">
          <cell r="D296" t="str">
            <v>AT - Õigusteenused</v>
          </cell>
          <cell r="E296">
            <v>3</v>
          </cell>
          <cell r="F296">
            <v>323</v>
          </cell>
          <cell r="G296">
            <v>301</v>
          </cell>
          <cell r="H296">
            <v>345</v>
          </cell>
        </row>
        <row r="297">
          <cell r="D297" t="str">
            <v>AT - Õigusteenused</v>
          </cell>
          <cell r="E297">
            <v>4</v>
          </cell>
          <cell r="F297">
            <v>427</v>
          </cell>
          <cell r="G297">
            <v>398</v>
          </cell>
          <cell r="H297">
            <v>457</v>
          </cell>
        </row>
        <row r="298">
          <cell r="D298" t="str">
            <v>AT - Õigusteenused</v>
          </cell>
          <cell r="E298">
            <v>5</v>
          </cell>
          <cell r="F298">
            <v>566</v>
          </cell>
          <cell r="G298">
            <v>527</v>
          </cell>
          <cell r="H298">
            <v>605</v>
          </cell>
        </row>
        <row r="299">
          <cell r="D299" t="str">
            <v>AT - Üldjuhtimine</v>
          </cell>
          <cell r="E299">
            <v>1</v>
          </cell>
          <cell r="F299">
            <v>244</v>
          </cell>
          <cell r="G299">
            <v>228</v>
          </cell>
          <cell r="H299">
            <v>261</v>
          </cell>
        </row>
        <row r="300">
          <cell r="D300" t="str">
            <v>AT - Üldjuhtimine</v>
          </cell>
          <cell r="E300">
            <v>2</v>
          </cell>
          <cell r="F300">
            <v>323</v>
          </cell>
          <cell r="G300">
            <v>301</v>
          </cell>
          <cell r="H300">
            <v>345</v>
          </cell>
        </row>
        <row r="301">
          <cell r="D301" t="str">
            <v>AT - Üldjuhtimine</v>
          </cell>
          <cell r="E301">
            <v>3</v>
          </cell>
          <cell r="F301">
            <v>427</v>
          </cell>
          <cell r="G301">
            <v>398</v>
          </cell>
          <cell r="H301">
            <v>457</v>
          </cell>
        </row>
        <row r="302">
          <cell r="D302" t="str">
            <v>AT - Üldjuhtimine</v>
          </cell>
          <cell r="E302">
            <v>4</v>
          </cell>
          <cell r="F302">
            <v>492</v>
          </cell>
          <cell r="G302">
            <v>458</v>
          </cell>
          <cell r="H302">
            <v>526</v>
          </cell>
        </row>
        <row r="303">
          <cell r="D303" t="str">
            <v>AT - Üldjuhtimine</v>
          </cell>
          <cell r="E303">
            <v>5</v>
          </cell>
          <cell r="F303">
            <v>566</v>
          </cell>
          <cell r="G303">
            <v>527</v>
          </cell>
          <cell r="H303">
            <v>605</v>
          </cell>
        </row>
        <row r="304">
          <cell r="D304" t="str">
            <v>AT - Üldjuhtimine</v>
          </cell>
          <cell r="E304">
            <v>6</v>
          </cell>
          <cell r="F304">
            <v>651</v>
          </cell>
          <cell r="G304">
            <v>606</v>
          </cell>
          <cell r="H304">
            <v>696</v>
          </cell>
        </row>
        <row r="305">
          <cell r="D305" t="str">
            <v>AT - Üldjuhtimine</v>
          </cell>
          <cell r="E305" t="str">
            <v>7A</v>
          </cell>
          <cell r="F305">
            <v>864</v>
          </cell>
          <cell r="G305">
            <v>804</v>
          </cell>
          <cell r="H305">
            <v>925</v>
          </cell>
        </row>
        <row r="306">
          <cell r="D306" t="str">
            <v>AT - Üldjuhtimine</v>
          </cell>
          <cell r="E306" t="str">
            <v>7B</v>
          </cell>
          <cell r="F306">
            <v>995</v>
          </cell>
          <cell r="G306">
            <v>926</v>
          </cell>
          <cell r="H306">
            <v>1066</v>
          </cell>
        </row>
        <row r="307">
          <cell r="D307" t="str">
            <v>AT - Üldtööd</v>
          </cell>
          <cell r="E307">
            <v>1</v>
          </cell>
          <cell r="F307">
            <v>79</v>
          </cell>
          <cell r="G307">
            <v>74</v>
          </cell>
          <cell r="H307">
            <v>84</v>
          </cell>
        </row>
        <row r="308">
          <cell r="D308" t="str">
            <v>AT - Üldtööd</v>
          </cell>
          <cell r="E308">
            <v>2</v>
          </cell>
          <cell r="F308">
            <v>121</v>
          </cell>
          <cell r="G308">
            <v>113</v>
          </cell>
          <cell r="H308">
            <v>129</v>
          </cell>
        </row>
        <row r="309">
          <cell r="D309" t="str">
            <v>AT - Üldtööd</v>
          </cell>
          <cell r="E309">
            <v>3</v>
          </cell>
          <cell r="F309">
            <v>160</v>
          </cell>
          <cell r="G309">
            <v>150</v>
          </cell>
          <cell r="H309">
            <v>171</v>
          </cell>
        </row>
        <row r="310">
          <cell r="D310" t="str">
            <v>AT - Üldtööd</v>
          </cell>
          <cell r="E310">
            <v>4</v>
          </cell>
          <cell r="F310">
            <v>244</v>
          </cell>
          <cell r="G310">
            <v>228</v>
          </cell>
          <cell r="H310">
            <v>261</v>
          </cell>
        </row>
        <row r="311">
          <cell r="D311" t="str">
            <v>AT - Üldtööd</v>
          </cell>
          <cell r="E311">
            <v>5</v>
          </cell>
          <cell r="F311">
            <v>323</v>
          </cell>
          <cell r="G311">
            <v>301</v>
          </cell>
          <cell r="H311">
            <v>345</v>
          </cell>
        </row>
        <row r="312">
          <cell r="D312" t="str">
            <v>AT - Üldtööd</v>
          </cell>
          <cell r="E312">
            <v>6</v>
          </cell>
          <cell r="F312">
            <v>427</v>
          </cell>
          <cell r="G312">
            <v>398</v>
          </cell>
          <cell r="H312">
            <v>457</v>
          </cell>
        </row>
        <row r="313">
          <cell r="D313" t="str">
            <v>AT - Ürituste ja tseremooniate korraldamine</v>
          </cell>
          <cell r="E313">
            <v>1</v>
          </cell>
          <cell r="F313">
            <v>105</v>
          </cell>
          <cell r="G313">
            <v>98</v>
          </cell>
          <cell r="H313">
            <v>112</v>
          </cell>
        </row>
        <row r="314">
          <cell r="D314" t="str">
            <v>AT - Ürituste ja tseremooniate korraldamine</v>
          </cell>
          <cell r="E314">
            <v>2</v>
          </cell>
          <cell r="F314">
            <v>139</v>
          </cell>
          <cell r="G314">
            <v>130</v>
          </cell>
          <cell r="H314">
            <v>149</v>
          </cell>
        </row>
        <row r="315">
          <cell r="D315" t="str">
            <v>AT - Ürituste ja tseremooniate korraldamine</v>
          </cell>
          <cell r="E315">
            <v>3</v>
          </cell>
          <cell r="F315">
            <v>184</v>
          </cell>
          <cell r="G315">
            <v>172</v>
          </cell>
          <cell r="H315">
            <v>197</v>
          </cell>
        </row>
        <row r="316">
          <cell r="D316" t="str">
            <v>AT - Ürituste ja tseremooniate korraldamine</v>
          </cell>
          <cell r="E316">
            <v>4</v>
          </cell>
          <cell r="F316">
            <v>244</v>
          </cell>
          <cell r="G316">
            <v>228</v>
          </cell>
          <cell r="H316">
            <v>261</v>
          </cell>
        </row>
        <row r="317">
          <cell r="D317" t="str">
            <v>AT - Ürituste ja tseremooniate korraldamine</v>
          </cell>
          <cell r="E317">
            <v>5</v>
          </cell>
          <cell r="F317">
            <v>427</v>
          </cell>
          <cell r="G317">
            <v>398</v>
          </cell>
          <cell r="H317">
            <v>457</v>
          </cell>
        </row>
        <row r="318">
          <cell r="D318">
            <v>0</v>
          </cell>
          <cell r="E318">
            <v>0</v>
          </cell>
        </row>
        <row r="319">
          <cell r="D319">
            <v>0</v>
          </cell>
          <cell r="E319">
            <v>0</v>
          </cell>
        </row>
        <row r="320">
          <cell r="D320">
            <v>0</v>
          </cell>
          <cell r="E320">
            <v>0</v>
          </cell>
        </row>
        <row r="321">
          <cell r="D321">
            <v>0</v>
          </cell>
          <cell r="E321">
            <v>0</v>
          </cell>
        </row>
        <row r="322">
          <cell r="D322">
            <v>0</v>
          </cell>
          <cell r="E322">
            <v>0</v>
          </cell>
        </row>
        <row r="323">
          <cell r="D323">
            <v>0</v>
          </cell>
          <cell r="E323">
            <v>0</v>
          </cell>
        </row>
        <row r="324">
          <cell r="D324">
            <v>0</v>
          </cell>
          <cell r="E324">
            <v>0</v>
          </cell>
        </row>
        <row r="325">
          <cell r="D325">
            <v>0</v>
          </cell>
          <cell r="E325">
            <v>0</v>
          </cell>
        </row>
        <row r="326">
          <cell r="D326">
            <v>0</v>
          </cell>
          <cell r="E326">
            <v>0</v>
          </cell>
        </row>
        <row r="327">
          <cell r="D327">
            <v>0</v>
          </cell>
          <cell r="E327">
            <v>0</v>
          </cell>
        </row>
        <row r="328">
          <cell r="D328">
            <v>0</v>
          </cell>
          <cell r="E328">
            <v>0</v>
          </cell>
        </row>
        <row r="329">
          <cell r="D329">
            <v>0</v>
          </cell>
          <cell r="E329">
            <v>0</v>
          </cell>
        </row>
        <row r="330">
          <cell r="D330">
            <v>0</v>
          </cell>
          <cell r="E330">
            <v>0</v>
          </cell>
        </row>
        <row r="331">
          <cell r="D331">
            <v>0</v>
          </cell>
          <cell r="E331">
            <v>0</v>
          </cell>
        </row>
      </sheetData>
      <sheetData sheetId="11">
        <row r="2">
          <cell r="E2" t="str">
            <v>English</v>
          </cell>
        </row>
        <row r="3">
          <cell r="E3" t="str">
            <v>Estonian</v>
          </cell>
        </row>
        <row r="4">
          <cell r="E4" t="str">
            <v>Latvian</v>
          </cell>
        </row>
        <row r="5">
          <cell r="E5" t="str">
            <v>Lithuanian</v>
          </cell>
        </row>
        <row r="9">
          <cell r="H9">
            <v>0</v>
          </cell>
        </row>
        <row r="10">
          <cell r="H10">
            <v>1</v>
          </cell>
        </row>
        <row r="11">
          <cell r="H11" t="str">
            <v>1A</v>
          </cell>
        </row>
        <row r="12">
          <cell r="H12" t="str">
            <v>1B</v>
          </cell>
        </row>
        <row r="13">
          <cell r="H13">
            <v>2</v>
          </cell>
        </row>
        <row r="14">
          <cell r="H14" t="str">
            <v>2A</v>
          </cell>
        </row>
        <row r="15">
          <cell r="H15" t="str">
            <v>2B</v>
          </cell>
        </row>
        <row r="16">
          <cell r="H16" t="str">
            <v>2C</v>
          </cell>
        </row>
        <row r="17">
          <cell r="H17">
            <v>3</v>
          </cell>
        </row>
        <row r="18">
          <cell r="H18" t="str">
            <v>3A</v>
          </cell>
        </row>
        <row r="19">
          <cell r="H19" t="str">
            <v>3B</v>
          </cell>
        </row>
        <row r="20">
          <cell r="H20">
            <v>4</v>
          </cell>
        </row>
        <row r="21">
          <cell r="H21" t="str">
            <v>4A</v>
          </cell>
        </row>
        <row r="22">
          <cell r="H22" t="str">
            <v>4B</v>
          </cell>
        </row>
        <row r="23">
          <cell r="H23" t="str">
            <v>4C</v>
          </cell>
        </row>
        <row r="24">
          <cell r="H24">
            <v>5</v>
          </cell>
        </row>
        <row r="25">
          <cell r="H25" t="str">
            <v>5A</v>
          </cell>
        </row>
        <row r="26">
          <cell r="H26" t="str">
            <v>5B</v>
          </cell>
        </row>
        <row r="27">
          <cell r="H27" t="str">
            <v>5C</v>
          </cell>
        </row>
        <row r="28">
          <cell r="H28">
            <v>6</v>
          </cell>
        </row>
        <row r="29">
          <cell r="H29" t="str">
            <v>6A</v>
          </cell>
        </row>
        <row r="30">
          <cell r="H30" t="str">
            <v>6B</v>
          </cell>
        </row>
        <row r="31">
          <cell r="H31">
            <v>7</v>
          </cell>
        </row>
        <row r="32">
          <cell r="H32" t="str">
            <v>7A</v>
          </cell>
        </row>
        <row r="33">
          <cell r="H33" t="str">
            <v>7B</v>
          </cell>
        </row>
        <row r="34">
          <cell r="H34">
            <v>8</v>
          </cell>
        </row>
        <row r="35">
          <cell r="H35">
            <v>9</v>
          </cell>
        </row>
      </sheetData>
      <sheetData sheetId="12"/>
      <sheetData sheetId="13"/>
      <sheetData sheetId="14" refreshError="1"/>
      <sheetData sheetId="15"/>
      <sheetData sheetId="16"/>
      <sheetData sheetId="17">
        <row r="2">
          <cell r="D2" t="str">
            <v>Actual Job Family</v>
          </cell>
        </row>
      </sheetData>
      <sheetData sheetId="18">
        <row r="2">
          <cell r="E2" t="str">
            <v>English</v>
          </cell>
        </row>
      </sheetData>
      <sheetData sheetId="19"/>
      <sheetData sheetId="20"/>
      <sheetData sheetId="21"/>
      <sheetData sheetId="22"/>
      <sheetData sheetId="23">
        <row r="2">
          <cell r="D2" t="str">
            <v>Actual Job Family</v>
          </cell>
        </row>
      </sheetData>
      <sheetData sheetId="24">
        <row r="2">
          <cell r="E2" t="str">
            <v>English</v>
          </cell>
        </row>
      </sheetData>
      <sheetData sheetId="25"/>
      <sheetData sheetId="26"/>
      <sheetData sheetId="27"/>
      <sheetData sheetId="28"/>
      <sheetData sheetId="29">
        <row r="2">
          <cell r="D2" t="str">
            <v>Actual Job Family</v>
          </cell>
        </row>
      </sheetData>
      <sheetData sheetId="30">
        <row r="2">
          <cell r="E2" t="str">
            <v>English</v>
          </cell>
        </row>
      </sheetData>
      <sheetData sheetId="31"/>
      <sheetData sheetId="32"/>
      <sheetData sheetId="33"/>
      <sheetData sheetId="34"/>
      <sheetData sheetId="35">
        <row r="2">
          <cell r="D2" t="str">
            <v>Actual Job Family</v>
          </cell>
        </row>
      </sheetData>
      <sheetData sheetId="36">
        <row r="2">
          <cell r="E2" t="str">
            <v>English</v>
          </cell>
        </row>
      </sheetData>
      <sheetData sheetId="37"/>
      <sheetData sheetId="38"/>
      <sheetData sheetId="39"/>
      <sheetData sheetId="40"/>
      <sheetData sheetId="41">
        <row r="2">
          <cell r="D2" t="str">
            <v>Actual Job Family</v>
          </cell>
        </row>
      </sheetData>
      <sheetData sheetId="42">
        <row r="2">
          <cell r="E2" t="str">
            <v>English</v>
          </cell>
        </row>
      </sheetData>
      <sheetData sheetId="43"/>
      <sheetData sheetId="44"/>
      <sheetData sheetId="45"/>
      <sheetData sheetId="46"/>
      <sheetData sheetId="47">
        <row r="2">
          <cell r="D2" t="str">
            <v>Actual Job Family</v>
          </cell>
        </row>
      </sheetData>
      <sheetData sheetId="48">
        <row r="2">
          <cell r="E2" t="str">
            <v>English</v>
          </cell>
        </row>
      </sheetData>
      <sheetData sheetId="49"/>
      <sheetData sheetId="50"/>
      <sheetData sheetId="51"/>
      <sheetData sheetId="52"/>
      <sheetData sheetId="53">
        <row r="2">
          <cell r="D2" t="str">
            <v>Actual Job Family</v>
          </cell>
        </row>
      </sheetData>
      <sheetData sheetId="54">
        <row r="2">
          <cell r="E2" t="str">
            <v>English</v>
          </cell>
        </row>
      </sheetData>
      <sheetData sheetId="55"/>
      <sheetData sheetId="56"/>
      <sheetData sheetId="57"/>
      <sheetData sheetId="58"/>
      <sheetData sheetId="59">
        <row r="2">
          <cell r="D2" t="str">
            <v>Actual Job Family</v>
          </cell>
        </row>
      </sheetData>
      <sheetData sheetId="60">
        <row r="2">
          <cell r="E2" t="str">
            <v>English</v>
          </cell>
        </row>
      </sheetData>
      <sheetData sheetId="61"/>
      <sheetData sheetId="62"/>
      <sheetData sheetId="63"/>
      <sheetData sheetId="64"/>
      <sheetData sheetId="65">
        <row r="2">
          <cell r="D2" t="str">
            <v>Actual Job Family</v>
          </cell>
        </row>
      </sheetData>
      <sheetData sheetId="66">
        <row r="2">
          <cell r="E2" t="str">
            <v>English</v>
          </cell>
        </row>
      </sheetData>
      <sheetData sheetId="67"/>
      <sheetData sheetId="68"/>
      <sheetData sheetId="69"/>
      <sheetData sheetId="70"/>
      <sheetData sheetId="71">
        <row r="2">
          <cell r="D2" t="str">
            <v>Actual Job Family</v>
          </cell>
        </row>
      </sheetData>
      <sheetData sheetId="72">
        <row r="2">
          <cell r="E2" t="str">
            <v>English</v>
          </cell>
        </row>
      </sheetData>
      <sheetData sheetId="73"/>
      <sheetData sheetId="74"/>
      <sheetData sheetId="75"/>
      <sheetData sheetId="76"/>
      <sheetData sheetId="77">
        <row r="2">
          <cell r="D2" t="str">
            <v>Actual Job Family</v>
          </cell>
        </row>
      </sheetData>
      <sheetData sheetId="78">
        <row r="2">
          <cell r="E2" t="str">
            <v>English</v>
          </cell>
        </row>
      </sheetData>
      <sheetData sheetId="79"/>
      <sheetData sheetId="80"/>
      <sheetData sheetId="81"/>
      <sheetData sheetId="82"/>
      <sheetData sheetId="83">
        <row r="2">
          <cell r="D2" t="str">
            <v>Actual Job Family</v>
          </cell>
        </row>
      </sheetData>
      <sheetData sheetId="84">
        <row r="2">
          <cell r="E2" t="str">
            <v>English</v>
          </cell>
        </row>
      </sheetData>
      <sheetData sheetId="85"/>
      <sheetData sheetId="86"/>
      <sheetData sheetId="87"/>
      <sheetData sheetId="88"/>
      <sheetData sheetId="89">
        <row r="2">
          <cell r="D2" t="str">
            <v>Actual Job Family</v>
          </cell>
        </row>
      </sheetData>
      <sheetData sheetId="90">
        <row r="2">
          <cell r="E2" t="str">
            <v>English</v>
          </cell>
        </row>
      </sheetData>
      <sheetData sheetId="91"/>
      <sheetData sheetId="92"/>
      <sheetData sheetId="93"/>
      <sheetData sheetId="94"/>
      <sheetData sheetId="95">
        <row r="2">
          <cell r="D2" t="str">
            <v>Actual Job Family</v>
          </cell>
        </row>
      </sheetData>
      <sheetData sheetId="96">
        <row r="2">
          <cell r="E2" t="str">
            <v>English</v>
          </cell>
        </row>
      </sheetData>
      <sheetData sheetId="97"/>
      <sheetData sheetId="9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4478E-F308-4F8D-90FA-582E2C517A90}">
  <dimension ref="A1:O16"/>
  <sheetViews>
    <sheetView workbookViewId="0">
      <selection activeCell="N27" sqref="N27"/>
    </sheetView>
  </sheetViews>
  <sheetFormatPr defaultColWidth="9.44140625" defaultRowHeight="13.2"/>
  <cols>
    <col min="1" max="1" width="41" style="75" bestFit="1" customWidth="1"/>
    <col min="2" max="16384" width="9.44140625" style="75"/>
  </cols>
  <sheetData>
    <row r="1" spans="1:15">
      <c r="A1" s="72" t="s">
        <v>942</v>
      </c>
      <c r="B1" s="75" t="s">
        <v>943</v>
      </c>
      <c r="C1" s="75" t="s">
        <v>944</v>
      </c>
      <c r="D1" s="75" t="s">
        <v>945</v>
      </c>
      <c r="E1" s="75" t="s">
        <v>946</v>
      </c>
      <c r="F1" s="75" t="s">
        <v>947</v>
      </c>
      <c r="G1" s="75" t="s">
        <v>948</v>
      </c>
      <c r="H1" s="75" t="s">
        <v>949</v>
      </c>
      <c r="I1" s="75" t="s">
        <v>950</v>
      </c>
      <c r="J1" s="75" t="s">
        <v>951</v>
      </c>
      <c r="K1" s="75" t="s">
        <v>952</v>
      </c>
      <c r="L1" s="75" t="s">
        <v>953</v>
      </c>
      <c r="M1" s="75" t="s">
        <v>954</v>
      </c>
      <c r="N1" s="75" t="s">
        <v>955</v>
      </c>
      <c r="O1" s="75" t="s">
        <v>956</v>
      </c>
    </row>
    <row r="2" spans="1:15">
      <c r="A2" s="72" t="s">
        <v>957</v>
      </c>
      <c r="B2" s="75" t="s">
        <v>958</v>
      </c>
      <c r="C2" s="75" t="s">
        <v>959</v>
      </c>
      <c r="D2" s="75" t="s">
        <v>960</v>
      </c>
      <c r="E2" s="75" t="s">
        <v>961</v>
      </c>
      <c r="F2" s="75" t="s">
        <v>962</v>
      </c>
      <c r="G2" s="75" t="s">
        <v>963</v>
      </c>
      <c r="H2" s="75" t="s">
        <v>964</v>
      </c>
      <c r="I2" s="75" t="s">
        <v>965</v>
      </c>
      <c r="J2" s="75" t="s">
        <v>966</v>
      </c>
      <c r="K2" s="75" t="s">
        <v>967</v>
      </c>
      <c r="L2" s="75" t="s">
        <v>968</v>
      </c>
      <c r="M2" s="75" t="s">
        <v>969</v>
      </c>
      <c r="N2" s="75" t="s">
        <v>970</v>
      </c>
      <c r="O2" s="75" t="s">
        <v>971</v>
      </c>
    </row>
    <row r="3" spans="1:15">
      <c r="A3" s="72" t="s">
        <v>972</v>
      </c>
      <c r="B3" s="75" t="s">
        <v>973</v>
      </c>
      <c r="C3" s="75" t="s">
        <v>974</v>
      </c>
      <c r="D3" s="75" t="s">
        <v>975</v>
      </c>
      <c r="E3" s="75" t="s">
        <v>976</v>
      </c>
      <c r="F3" s="75" t="s">
        <v>977</v>
      </c>
      <c r="G3" s="75" t="s">
        <v>978</v>
      </c>
      <c r="H3" s="75" t="s">
        <v>979</v>
      </c>
      <c r="I3" s="75" t="s">
        <v>980</v>
      </c>
      <c r="J3" s="75" t="s">
        <v>981</v>
      </c>
      <c r="K3" s="75" t="s">
        <v>982</v>
      </c>
      <c r="L3" s="75" t="s">
        <v>983</v>
      </c>
      <c r="M3" s="75" t="s">
        <v>984</v>
      </c>
      <c r="N3" s="75" t="s">
        <v>985</v>
      </c>
      <c r="O3" s="75" t="s">
        <v>986</v>
      </c>
    </row>
    <row r="4" spans="1:15">
      <c r="A4" s="72" t="s">
        <v>987</v>
      </c>
      <c r="B4" s="75" t="s">
        <v>988</v>
      </c>
      <c r="C4" s="75" t="s">
        <v>989</v>
      </c>
      <c r="D4" s="75" t="s">
        <v>990</v>
      </c>
      <c r="F4" s="75" t="s">
        <v>991</v>
      </c>
      <c r="G4" s="75" t="s">
        <v>992</v>
      </c>
      <c r="H4" s="75" t="s">
        <v>993</v>
      </c>
      <c r="I4" s="75" t="s">
        <v>994</v>
      </c>
      <c r="J4" s="75" t="s">
        <v>995</v>
      </c>
      <c r="K4" s="75" t="s">
        <v>996</v>
      </c>
      <c r="L4" s="10" t="s">
        <v>997</v>
      </c>
      <c r="M4" s="75" t="s">
        <v>998</v>
      </c>
      <c r="N4" s="75" t="s">
        <v>999</v>
      </c>
      <c r="O4" s="75" t="s">
        <v>1000</v>
      </c>
    </row>
    <row r="5" spans="1:15">
      <c r="A5" s="72" t="s">
        <v>1001</v>
      </c>
      <c r="B5" s="75" t="s">
        <v>1002</v>
      </c>
      <c r="C5" s="75" t="s">
        <v>1003</v>
      </c>
      <c r="D5" s="75" t="s">
        <v>1004</v>
      </c>
      <c r="F5" s="75" t="s">
        <v>1005</v>
      </c>
      <c r="G5" s="75" t="s">
        <v>1006</v>
      </c>
      <c r="H5" s="75" t="s">
        <v>1007</v>
      </c>
      <c r="I5" s="75" t="s">
        <v>1008</v>
      </c>
      <c r="J5" s="75" t="s">
        <v>1009</v>
      </c>
      <c r="K5" s="75" t="s">
        <v>1010</v>
      </c>
      <c r="M5" s="75" t="s">
        <v>1011</v>
      </c>
      <c r="O5" s="75" t="s">
        <v>1012</v>
      </c>
    </row>
    <row r="6" spans="1:15">
      <c r="A6" s="72" t="s">
        <v>1013</v>
      </c>
      <c r="C6" s="75" t="s">
        <v>1014</v>
      </c>
      <c r="D6" s="75" t="s">
        <v>1015</v>
      </c>
      <c r="F6" s="75" t="s">
        <v>1016</v>
      </c>
      <c r="G6" s="75" t="s">
        <v>1017</v>
      </c>
      <c r="I6" s="75" t="s">
        <v>1018</v>
      </c>
      <c r="J6" s="75" t="s">
        <v>1019</v>
      </c>
      <c r="O6" s="75" t="s">
        <v>1020</v>
      </c>
    </row>
    <row r="7" spans="1:15">
      <c r="A7" s="72" t="s">
        <v>1021</v>
      </c>
      <c r="C7" s="75" t="s">
        <v>1022</v>
      </c>
      <c r="G7" s="75" t="s">
        <v>1023</v>
      </c>
      <c r="I7" s="75" t="s">
        <v>1024</v>
      </c>
      <c r="O7" s="75" t="s">
        <v>1025</v>
      </c>
    </row>
    <row r="8" spans="1:15">
      <c r="A8" s="72" t="s">
        <v>1026</v>
      </c>
      <c r="O8" s="75" t="s">
        <v>1027</v>
      </c>
    </row>
    <row r="9" spans="1:15">
      <c r="A9" s="72" t="s">
        <v>1028</v>
      </c>
    </row>
    <row r="10" spans="1:15">
      <c r="A10" s="72" t="s">
        <v>1029</v>
      </c>
    </row>
    <row r="11" spans="1:15">
      <c r="A11" s="72" t="s">
        <v>1030</v>
      </c>
    </row>
    <row r="12" spans="1:15">
      <c r="A12" s="72" t="s">
        <v>1031</v>
      </c>
    </row>
    <row r="13" spans="1:15">
      <c r="A13" s="72" t="s">
        <v>1032</v>
      </c>
    </row>
    <row r="14" spans="1:15">
      <c r="A14" s="72" t="s">
        <v>1033</v>
      </c>
    </row>
    <row r="15" spans="1:15">
      <c r="A15" s="72" t="s">
        <v>1034</v>
      </c>
    </row>
    <row r="16" spans="1:15">
      <c r="A16" s="72" t="s">
        <v>1035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EC3FD-49D3-49DB-8C58-AC2526A33C82}">
  <sheetPr>
    <tabColor theme="9" tint="0.79998168889431442"/>
  </sheetPr>
  <dimension ref="A2:M19"/>
  <sheetViews>
    <sheetView workbookViewId="0">
      <selection activeCell="A2" sqref="A2"/>
    </sheetView>
  </sheetViews>
  <sheetFormatPr defaultRowHeight="13.2"/>
  <cols>
    <col min="1" max="1" width="24.44140625" bestFit="1" customWidth="1"/>
    <col min="2" max="2" width="11.21875" customWidth="1"/>
    <col min="3" max="3" width="9.21875" hidden="1" customWidth="1"/>
    <col min="4" max="5" width="10.77734375" hidden="1" customWidth="1"/>
    <col min="6" max="6" width="9.77734375" style="75" hidden="1" customWidth="1"/>
    <col min="7" max="7" width="12.5546875" customWidth="1"/>
    <col min="8" max="9" width="11.21875" customWidth="1"/>
    <col min="10" max="10" width="8.77734375" customWidth="1"/>
    <col min="11" max="11" width="10.77734375" customWidth="1"/>
    <col min="13" max="13" width="10.21875" customWidth="1"/>
    <col min="15" max="15" width="29.21875" customWidth="1"/>
  </cols>
  <sheetData>
    <row r="2" spans="1:13">
      <c r="A2" s="14" t="s">
        <v>1218</v>
      </c>
    </row>
    <row r="4" spans="1:13" ht="32.25" customHeight="1">
      <c r="B4" s="775">
        <v>2022</v>
      </c>
      <c r="C4" s="775"/>
      <c r="D4" s="775"/>
      <c r="E4" s="775"/>
      <c r="F4" s="775"/>
      <c r="G4" s="775"/>
      <c r="H4" s="638">
        <v>2023</v>
      </c>
      <c r="I4" s="758" t="s">
        <v>1212</v>
      </c>
      <c r="J4" s="759"/>
      <c r="K4" s="756" t="s">
        <v>1213</v>
      </c>
      <c r="L4" s="757"/>
      <c r="M4" s="638">
        <v>2023</v>
      </c>
    </row>
    <row r="5" spans="1:13" ht="39.6">
      <c r="A5" s="654" t="s">
        <v>1215</v>
      </c>
      <c r="B5" s="772" t="s">
        <v>667</v>
      </c>
      <c r="C5" s="772" t="s">
        <v>827</v>
      </c>
      <c r="D5" s="772" t="s">
        <v>828</v>
      </c>
      <c r="E5" s="772" t="s">
        <v>1187</v>
      </c>
      <c r="F5" s="773"/>
      <c r="G5" s="774" t="s">
        <v>668</v>
      </c>
      <c r="H5" s="639" t="s">
        <v>1211</v>
      </c>
      <c r="I5" s="640" t="s">
        <v>14</v>
      </c>
      <c r="J5" s="641" t="s">
        <v>743</v>
      </c>
      <c r="K5" s="642" t="s">
        <v>14</v>
      </c>
      <c r="L5" s="643" t="s">
        <v>743</v>
      </c>
      <c r="M5" s="639" t="s">
        <v>1214</v>
      </c>
    </row>
    <row r="6" spans="1:13">
      <c r="A6" s="663" t="s">
        <v>13</v>
      </c>
      <c r="B6" s="664">
        <f>SUM(B7:B19)</f>
        <v>269281681</v>
      </c>
      <c r="C6" s="664">
        <f t="shared" ref="C6:H6" si="0">SUM(C7:C19)</f>
        <v>0</v>
      </c>
      <c r="D6" s="664">
        <f t="shared" si="0"/>
        <v>-12180051</v>
      </c>
      <c r="E6" s="664">
        <f t="shared" si="0"/>
        <v>-28797618</v>
      </c>
      <c r="F6" s="664"/>
      <c r="G6" s="664">
        <f t="shared" si="0"/>
        <v>228304012</v>
      </c>
      <c r="H6" s="664">
        <f t="shared" si="0"/>
        <v>217644949</v>
      </c>
      <c r="I6" s="655">
        <f>H6-B6</f>
        <v>-51636732</v>
      </c>
      <c r="J6" s="665">
        <f>I6/B6</f>
        <v>-0.19175731452745945</v>
      </c>
      <c r="K6" s="655">
        <f>H6-G6</f>
        <v>-10659063</v>
      </c>
      <c r="L6" s="666">
        <f t="shared" ref="L6:L19" si="1">K6/G6</f>
        <v>-4.668802316097713E-2</v>
      </c>
      <c r="M6" s="666">
        <f>H6/$H$6</f>
        <v>1</v>
      </c>
    </row>
    <row r="7" spans="1:13">
      <c r="A7" s="656" t="s">
        <v>1216</v>
      </c>
      <c r="B7" s="657">
        <v>1000000</v>
      </c>
      <c r="C7" s="657"/>
      <c r="D7" s="657"/>
      <c r="E7" s="658">
        <v>-1000000</v>
      </c>
      <c r="F7" s="658"/>
      <c r="G7" s="658">
        <f>SUM(B7:E7)</f>
        <v>0</v>
      </c>
      <c r="H7" s="657">
        <v>1000000</v>
      </c>
      <c r="I7" s="657">
        <f>H7-B7</f>
        <v>0</v>
      </c>
      <c r="J7" s="661">
        <f>I7/B7</f>
        <v>0</v>
      </c>
      <c r="K7" s="657">
        <f>H7-G7</f>
        <v>1000000</v>
      </c>
      <c r="L7" s="667"/>
      <c r="M7" s="667">
        <f t="shared" ref="M7:M19" si="2">H7/$H$6</f>
        <v>4.5946391340329247E-3</v>
      </c>
    </row>
    <row r="8" spans="1:13">
      <c r="A8" s="656" t="s">
        <v>371</v>
      </c>
      <c r="B8" s="657">
        <v>59891754</v>
      </c>
      <c r="C8" s="657">
        <v>0</v>
      </c>
      <c r="D8" s="657">
        <v>-9151492</v>
      </c>
      <c r="E8" s="657">
        <v>-7517172</v>
      </c>
      <c r="F8" s="657"/>
      <c r="G8" s="657">
        <f t="shared" ref="G8:G19" si="3">SUM(B8:E8)</f>
        <v>43223090</v>
      </c>
      <c r="H8" s="657">
        <v>49152500</v>
      </c>
      <c r="I8" s="657">
        <f t="shared" ref="I8:I19" si="4">H8-B8</f>
        <v>-10739254</v>
      </c>
      <c r="J8" s="661">
        <f t="shared" ref="J8:J19" si="5">I8/B8</f>
        <v>-0.17931106175317557</v>
      </c>
      <c r="K8" s="657">
        <f t="shared" ref="K8:K19" si="6">H8-G8</f>
        <v>5929410</v>
      </c>
      <c r="L8" s="667">
        <f t="shared" si="1"/>
        <v>0.13718153884879586</v>
      </c>
      <c r="M8" s="667">
        <f t="shared" si="2"/>
        <v>0.22583800003555332</v>
      </c>
    </row>
    <row r="9" spans="1:13">
      <c r="A9" s="656" t="s">
        <v>1217</v>
      </c>
      <c r="B9" s="659">
        <v>28939028</v>
      </c>
      <c r="C9" s="659">
        <v>0</v>
      </c>
      <c r="D9" s="659">
        <v>457743</v>
      </c>
      <c r="E9" s="659">
        <v>-5833297</v>
      </c>
      <c r="F9" s="659"/>
      <c r="G9" s="659">
        <f t="shared" si="3"/>
        <v>23563474</v>
      </c>
      <c r="H9" s="657">
        <v>28115783</v>
      </c>
      <c r="I9" s="657">
        <f t="shared" si="4"/>
        <v>-823245</v>
      </c>
      <c r="J9" s="661">
        <f t="shared" si="5"/>
        <v>-2.8447569144340299E-2</v>
      </c>
      <c r="K9" s="657">
        <f t="shared" si="6"/>
        <v>4552309</v>
      </c>
      <c r="L9" s="667">
        <f t="shared" si="1"/>
        <v>0.19319345695800202</v>
      </c>
      <c r="M9" s="667">
        <f t="shared" si="2"/>
        <v>0.12918187685577762</v>
      </c>
    </row>
    <row r="10" spans="1:13">
      <c r="A10" s="656" t="s">
        <v>659</v>
      </c>
      <c r="B10" s="659">
        <v>9639000</v>
      </c>
      <c r="C10" s="659">
        <v>0</v>
      </c>
      <c r="D10" s="659">
        <v>55500</v>
      </c>
      <c r="E10" s="659">
        <v>-2281936</v>
      </c>
      <c r="F10" s="659"/>
      <c r="G10" s="659">
        <f t="shared" si="3"/>
        <v>7412564</v>
      </c>
      <c r="H10" s="657">
        <v>11406260</v>
      </c>
      <c r="I10" s="657">
        <f t="shared" si="4"/>
        <v>1767260</v>
      </c>
      <c r="J10" s="661">
        <f t="shared" si="5"/>
        <v>0.18334474530552963</v>
      </c>
      <c r="K10" s="657">
        <f t="shared" si="6"/>
        <v>3993696</v>
      </c>
      <c r="L10" s="667">
        <f t="shared" si="1"/>
        <v>0.53877389793868891</v>
      </c>
      <c r="M10" s="667">
        <f t="shared" si="2"/>
        <v>5.2407648568954385E-2</v>
      </c>
    </row>
    <row r="11" spans="1:13">
      <c r="A11" s="656" t="s">
        <v>131</v>
      </c>
      <c r="B11" s="657">
        <v>10012700</v>
      </c>
      <c r="C11" s="657"/>
      <c r="D11" s="657">
        <v>-1949000</v>
      </c>
      <c r="E11" s="657">
        <v>-1117590</v>
      </c>
      <c r="F11" s="657"/>
      <c r="G11" s="657">
        <f t="shared" si="3"/>
        <v>6946110</v>
      </c>
      <c r="H11" s="657">
        <v>6830000</v>
      </c>
      <c r="I11" s="657">
        <f t="shared" si="4"/>
        <v>-3182700</v>
      </c>
      <c r="J11" s="661">
        <f t="shared" si="5"/>
        <v>-0.31786630978657104</v>
      </c>
      <c r="K11" s="657">
        <f t="shared" si="6"/>
        <v>-116110</v>
      </c>
      <c r="L11" s="667">
        <f t="shared" si="1"/>
        <v>-1.6715830875122909E-2</v>
      </c>
      <c r="M11" s="667">
        <f t="shared" si="2"/>
        <v>3.1381385285444874E-2</v>
      </c>
    </row>
    <row r="12" spans="1:13">
      <c r="A12" s="656" t="s">
        <v>143</v>
      </c>
      <c r="B12" s="659">
        <v>14387000</v>
      </c>
      <c r="C12" s="659"/>
      <c r="D12" s="657">
        <v>-154523</v>
      </c>
      <c r="E12" s="657">
        <v>400000</v>
      </c>
      <c r="F12" s="657"/>
      <c r="G12" s="657">
        <f t="shared" si="3"/>
        <v>14632477</v>
      </c>
      <c r="H12" s="657">
        <v>10825908</v>
      </c>
      <c r="I12" s="657">
        <f t="shared" si="4"/>
        <v>-3561092</v>
      </c>
      <c r="J12" s="661">
        <f t="shared" si="5"/>
        <v>-0.24752151247654133</v>
      </c>
      <c r="K12" s="657">
        <f t="shared" si="6"/>
        <v>-3806569</v>
      </c>
      <c r="L12" s="667">
        <f t="shared" si="1"/>
        <v>-0.26014522353255709</v>
      </c>
      <c r="M12" s="667">
        <f t="shared" si="2"/>
        <v>4.974114055824011E-2</v>
      </c>
    </row>
    <row r="13" spans="1:13">
      <c r="A13" s="656" t="s">
        <v>373</v>
      </c>
      <c r="B13" s="659">
        <v>12535000</v>
      </c>
      <c r="C13" s="659"/>
      <c r="D13" s="657">
        <v>-4753830</v>
      </c>
      <c r="E13" s="657">
        <v>-5249320</v>
      </c>
      <c r="F13" s="657"/>
      <c r="G13" s="657">
        <f t="shared" si="3"/>
        <v>2531850</v>
      </c>
      <c r="H13" s="657">
        <v>5620200</v>
      </c>
      <c r="I13" s="657">
        <f t="shared" si="4"/>
        <v>-6914800</v>
      </c>
      <c r="J13" s="661">
        <f t="shared" si="5"/>
        <v>-0.55163940965297165</v>
      </c>
      <c r="K13" s="657">
        <f t="shared" si="6"/>
        <v>3088350</v>
      </c>
      <c r="L13" s="667">
        <f t="shared" si="1"/>
        <v>1.2197997511700931</v>
      </c>
      <c r="M13" s="667">
        <f t="shared" si="2"/>
        <v>2.5822790861091842E-2</v>
      </c>
    </row>
    <row r="14" spans="1:13">
      <c r="A14" s="656" t="s">
        <v>380</v>
      </c>
      <c r="B14" s="659">
        <v>501900</v>
      </c>
      <c r="C14" s="659"/>
      <c r="D14" s="657">
        <v>5938000</v>
      </c>
      <c r="E14" s="657"/>
      <c r="F14" s="657"/>
      <c r="G14" s="657">
        <f t="shared" si="3"/>
        <v>6439900</v>
      </c>
      <c r="H14" s="657">
        <v>1512400</v>
      </c>
      <c r="I14" s="657">
        <f t="shared" si="4"/>
        <v>1010500</v>
      </c>
      <c r="J14" s="661">
        <f t="shared" si="5"/>
        <v>2.0133492727634987</v>
      </c>
      <c r="K14" s="657">
        <f t="shared" si="6"/>
        <v>-4927500</v>
      </c>
      <c r="L14" s="667">
        <f t="shared" si="1"/>
        <v>-0.76515163278932907</v>
      </c>
      <c r="M14" s="667">
        <f t="shared" si="2"/>
        <v>6.9489322263113946E-3</v>
      </c>
    </row>
    <row r="15" spans="1:13">
      <c r="A15" s="656" t="s">
        <v>374</v>
      </c>
      <c r="B15" s="659">
        <v>42788551</v>
      </c>
      <c r="C15" s="659"/>
      <c r="D15" s="657">
        <v>3275349</v>
      </c>
      <c r="E15" s="657">
        <v>4992896</v>
      </c>
      <c r="F15" s="657"/>
      <c r="G15" s="657">
        <f t="shared" si="3"/>
        <v>51056796</v>
      </c>
      <c r="H15" s="657">
        <v>4940700</v>
      </c>
      <c r="I15" s="657">
        <f t="shared" si="4"/>
        <v>-37847851</v>
      </c>
      <c r="J15" s="661">
        <f t="shared" si="5"/>
        <v>-0.88453219647470649</v>
      </c>
      <c r="K15" s="657">
        <f t="shared" si="6"/>
        <v>-46116096</v>
      </c>
      <c r="L15" s="667">
        <f t="shared" si="1"/>
        <v>-0.90323129559481174</v>
      </c>
      <c r="M15" s="667">
        <f t="shared" si="2"/>
        <v>2.2700733569516469E-2</v>
      </c>
    </row>
    <row r="16" spans="1:13">
      <c r="A16" s="656" t="s">
        <v>378</v>
      </c>
      <c r="B16" s="659">
        <v>67927217</v>
      </c>
      <c r="C16" s="659">
        <v>0</v>
      </c>
      <c r="D16" s="657">
        <v>-6149158</v>
      </c>
      <c r="E16" s="657">
        <v>-7656340</v>
      </c>
      <c r="F16" s="657"/>
      <c r="G16" s="657">
        <f t="shared" si="3"/>
        <v>54121719</v>
      </c>
      <c r="H16" s="657">
        <v>78054956</v>
      </c>
      <c r="I16" s="657">
        <f t="shared" si="4"/>
        <v>10127739</v>
      </c>
      <c r="J16" s="661">
        <f t="shared" si="5"/>
        <v>0.14909692237207361</v>
      </c>
      <c r="K16" s="657">
        <f t="shared" si="6"/>
        <v>23933237</v>
      </c>
      <c r="L16" s="667">
        <f t="shared" si="1"/>
        <v>0.44221132370167326</v>
      </c>
      <c r="M16" s="667">
        <f t="shared" si="2"/>
        <v>0.35863435544281802</v>
      </c>
    </row>
    <row r="17" spans="1:13">
      <c r="A17" s="656" t="s">
        <v>375</v>
      </c>
      <c r="B17" s="659">
        <v>2400000</v>
      </c>
      <c r="C17" s="659"/>
      <c r="D17" s="657">
        <v>-1140000</v>
      </c>
      <c r="E17" s="659">
        <v>-502560</v>
      </c>
      <c r="F17" s="659"/>
      <c r="G17" s="659">
        <f t="shared" si="3"/>
        <v>757440</v>
      </c>
      <c r="H17" s="657">
        <v>1738000</v>
      </c>
      <c r="I17" s="657">
        <f t="shared" si="4"/>
        <v>-662000</v>
      </c>
      <c r="J17" s="661">
        <f t="shared" si="5"/>
        <v>-0.27583333333333332</v>
      </c>
      <c r="K17" s="657">
        <f t="shared" si="6"/>
        <v>980560</v>
      </c>
      <c r="L17" s="667">
        <f t="shared" si="1"/>
        <v>1.2945711871567385</v>
      </c>
      <c r="M17" s="667">
        <f t="shared" si="2"/>
        <v>7.985482814949223E-3</v>
      </c>
    </row>
    <row r="18" spans="1:13">
      <c r="A18" s="656" t="s">
        <v>376</v>
      </c>
      <c r="B18" s="659">
        <v>19139531</v>
      </c>
      <c r="C18" s="659"/>
      <c r="D18" s="657">
        <v>1331560</v>
      </c>
      <c r="E18" s="657">
        <v>-3322009</v>
      </c>
      <c r="F18" s="657"/>
      <c r="G18" s="657">
        <f t="shared" si="3"/>
        <v>17149082</v>
      </c>
      <c r="H18" s="657">
        <v>18448242</v>
      </c>
      <c r="I18" s="657">
        <f t="shared" si="4"/>
        <v>-691289</v>
      </c>
      <c r="J18" s="661">
        <f t="shared" si="5"/>
        <v>-3.6118387644921916E-2</v>
      </c>
      <c r="K18" s="657">
        <f t="shared" si="6"/>
        <v>1299160</v>
      </c>
      <c r="L18" s="667">
        <f t="shared" si="1"/>
        <v>7.5756824767646461E-2</v>
      </c>
      <c r="M18" s="667">
        <f t="shared" si="2"/>
        <v>8.4763014647309828E-2</v>
      </c>
    </row>
    <row r="19" spans="1:13">
      <c r="A19" s="656" t="s">
        <v>377</v>
      </c>
      <c r="B19" s="659">
        <v>120000</v>
      </c>
      <c r="C19" s="659"/>
      <c r="D19" s="657">
        <v>59800</v>
      </c>
      <c r="E19" s="657">
        <v>289710</v>
      </c>
      <c r="F19" s="657"/>
      <c r="G19" s="657">
        <f t="shared" si="3"/>
        <v>469510</v>
      </c>
      <c r="H19" s="660"/>
      <c r="I19" s="660">
        <f t="shared" si="4"/>
        <v>-120000</v>
      </c>
      <c r="J19" s="662">
        <f t="shared" si="5"/>
        <v>-1</v>
      </c>
      <c r="K19" s="660">
        <f t="shared" si="6"/>
        <v>-469510</v>
      </c>
      <c r="L19" s="738">
        <f t="shared" si="1"/>
        <v>-1</v>
      </c>
      <c r="M19" s="667">
        <f t="shared" si="2"/>
        <v>0</v>
      </c>
    </row>
  </sheetData>
  <mergeCells count="3">
    <mergeCell ref="I4:J4"/>
    <mergeCell ref="K4:L4"/>
    <mergeCell ref="B4:G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08E5-B528-4351-B984-DAD170333868}">
  <sheetPr>
    <tabColor theme="9" tint="0.79998168889431442"/>
  </sheetPr>
  <dimension ref="A1:H39"/>
  <sheetViews>
    <sheetView workbookViewId="0"/>
  </sheetViews>
  <sheetFormatPr defaultRowHeight="13.2"/>
  <cols>
    <col min="1" max="1" width="46.44140625" bestFit="1" customWidth="1"/>
    <col min="2" max="4" width="13.44140625" bestFit="1" customWidth="1"/>
    <col min="5" max="5" width="11.77734375" bestFit="1" customWidth="1"/>
    <col min="7" max="7" width="10.77734375" bestFit="1" customWidth="1"/>
  </cols>
  <sheetData>
    <row r="1" spans="1:8" ht="13.8">
      <c r="A1" s="766" t="s">
        <v>1251</v>
      </c>
      <c r="B1" s="21"/>
    </row>
    <row r="2" spans="1:8" ht="13.8">
      <c r="A2" s="766"/>
      <c r="B2" s="21"/>
    </row>
    <row r="3" spans="1:8" ht="26.4" customHeight="1">
      <c r="A3" s="766"/>
      <c r="B3" s="776">
        <v>2022</v>
      </c>
      <c r="C3" s="776"/>
      <c r="D3" s="638">
        <v>2023</v>
      </c>
      <c r="E3" s="758" t="s">
        <v>1212</v>
      </c>
      <c r="F3" s="759"/>
      <c r="G3" s="756" t="s">
        <v>1213</v>
      </c>
      <c r="H3" s="757"/>
    </row>
    <row r="4" spans="1:8" ht="26.4">
      <c r="A4" s="766"/>
      <c r="B4" s="644" t="s">
        <v>667</v>
      </c>
      <c r="C4" s="774" t="s">
        <v>668</v>
      </c>
      <c r="D4" s="639" t="s">
        <v>1211</v>
      </c>
      <c r="E4" s="640" t="s">
        <v>14</v>
      </c>
      <c r="F4" s="641" t="s">
        <v>743</v>
      </c>
      <c r="G4" s="642" t="s">
        <v>14</v>
      </c>
      <c r="H4" s="643" t="s">
        <v>743</v>
      </c>
    </row>
    <row r="5" spans="1:8">
      <c r="A5" s="14" t="s">
        <v>1252</v>
      </c>
      <c r="B5" s="13">
        <v>859203541</v>
      </c>
      <c r="C5" s="13">
        <v>914216848</v>
      </c>
      <c r="D5" s="13">
        <v>956761688</v>
      </c>
      <c r="E5" s="13">
        <f>D5-B5</f>
        <v>97558147</v>
      </c>
      <c r="F5" s="163">
        <f>E5/B5</f>
        <v>0.11354486142649638</v>
      </c>
      <c r="G5" s="13">
        <f>D5-C5</f>
        <v>42544840</v>
      </c>
      <c r="H5" s="163">
        <f>G5/C5</f>
        <v>4.6536924027460055E-2</v>
      </c>
    </row>
    <row r="6" spans="1:8">
      <c r="A6" s="14" t="s">
        <v>1253</v>
      </c>
      <c r="B6" s="13">
        <v>685370663</v>
      </c>
      <c r="C6" s="13">
        <v>727750334</v>
      </c>
      <c r="D6" s="13">
        <v>762968060</v>
      </c>
      <c r="E6" s="13">
        <f t="shared" ref="E6:E38" si="0">D6-B6</f>
        <v>77597397</v>
      </c>
      <c r="F6" s="163">
        <f t="shared" ref="F6:F38" si="1">E6/B6</f>
        <v>0.11321960683339025</v>
      </c>
      <c r="G6" s="13">
        <f t="shared" ref="G6:G38" si="2">D6-C6</f>
        <v>35217726</v>
      </c>
      <c r="H6" s="163">
        <f t="shared" ref="H6:H38" si="3">G6/C6</f>
        <v>4.8392593386291732E-2</v>
      </c>
    </row>
    <row r="7" spans="1:8">
      <c r="A7" s="767" t="s">
        <v>1254</v>
      </c>
      <c r="B7" s="33">
        <v>593370000</v>
      </c>
      <c r="C7" s="33">
        <v>625313000</v>
      </c>
      <c r="D7" s="33">
        <v>664270000</v>
      </c>
      <c r="E7" s="33">
        <f t="shared" si="0"/>
        <v>70900000</v>
      </c>
      <c r="F7" s="768">
        <f t="shared" si="1"/>
        <v>0.11948699799450596</v>
      </c>
      <c r="G7" s="33">
        <f t="shared" si="2"/>
        <v>38957000</v>
      </c>
      <c r="H7" s="768">
        <f t="shared" si="3"/>
        <v>6.2300000159919912E-2</v>
      </c>
    </row>
    <row r="8" spans="1:8">
      <c r="A8" s="767" t="s">
        <v>1255</v>
      </c>
      <c r="B8" s="33">
        <v>556000000</v>
      </c>
      <c r="C8" s="33">
        <v>585843000</v>
      </c>
      <c r="D8" s="33">
        <v>624700000</v>
      </c>
      <c r="E8" s="33">
        <f t="shared" si="0"/>
        <v>68700000</v>
      </c>
      <c r="F8" s="768">
        <f t="shared" si="1"/>
        <v>0.12356115107913669</v>
      </c>
      <c r="G8" s="33">
        <f t="shared" si="2"/>
        <v>38857000</v>
      </c>
      <c r="H8" s="768">
        <f t="shared" si="3"/>
        <v>6.6326643827783208E-2</v>
      </c>
    </row>
    <row r="9" spans="1:8">
      <c r="A9" s="767" t="s">
        <v>1256</v>
      </c>
      <c r="B9" s="33">
        <v>25400000</v>
      </c>
      <c r="C9" s="33">
        <v>25400000</v>
      </c>
      <c r="D9" s="33">
        <v>25400000</v>
      </c>
      <c r="E9" s="33">
        <f t="shared" si="0"/>
        <v>0</v>
      </c>
      <c r="F9" s="768">
        <f t="shared" si="1"/>
        <v>0</v>
      </c>
      <c r="G9" s="33">
        <f t="shared" si="2"/>
        <v>0</v>
      </c>
      <c r="H9" s="768">
        <f t="shared" si="3"/>
        <v>0</v>
      </c>
    </row>
    <row r="10" spans="1:8">
      <c r="A10" s="767" t="s">
        <v>1257</v>
      </c>
      <c r="B10" s="33">
        <v>11970000</v>
      </c>
      <c r="C10" s="33">
        <v>14070000</v>
      </c>
      <c r="D10" s="33">
        <v>14170000</v>
      </c>
      <c r="E10" s="33">
        <f t="shared" si="0"/>
        <v>2200000</v>
      </c>
      <c r="F10" s="768">
        <f t="shared" si="1"/>
        <v>0.18379281537176273</v>
      </c>
      <c r="G10" s="33">
        <f t="shared" si="2"/>
        <v>100000</v>
      </c>
      <c r="H10" s="768">
        <f t="shared" si="3"/>
        <v>7.1073205401563609E-3</v>
      </c>
    </row>
    <row r="11" spans="1:8">
      <c r="A11" s="767" t="s">
        <v>1258</v>
      </c>
      <c r="B11" s="33">
        <v>90137039</v>
      </c>
      <c r="C11" s="33">
        <v>99917207</v>
      </c>
      <c r="D11" s="33">
        <v>96738036</v>
      </c>
      <c r="E11" s="33">
        <f t="shared" si="0"/>
        <v>6600997</v>
      </c>
      <c r="F11" s="768">
        <f t="shared" si="1"/>
        <v>7.3232902625079574E-2</v>
      </c>
      <c r="G11" s="33">
        <f t="shared" si="2"/>
        <v>-3179171</v>
      </c>
      <c r="H11" s="768">
        <f t="shared" si="3"/>
        <v>-3.1818053120720238E-2</v>
      </c>
    </row>
    <row r="12" spans="1:8">
      <c r="A12" s="767" t="s">
        <v>1259</v>
      </c>
      <c r="B12" s="33">
        <v>1863624</v>
      </c>
      <c r="C12" s="33">
        <v>2520127</v>
      </c>
      <c r="D12" s="33">
        <v>1960024</v>
      </c>
      <c r="E12" s="33">
        <f t="shared" si="0"/>
        <v>96400</v>
      </c>
      <c r="F12" s="768">
        <f t="shared" si="1"/>
        <v>5.172717243392444E-2</v>
      </c>
      <c r="G12" s="33">
        <f t="shared" si="2"/>
        <v>-560103</v>
      </c>
      <c r="H12" s="768">
        <f t="shared" si="3"/>
        <v>-0.22225189444817661</v>
      </c>
    </row>
    <row r="13" spans="1:8">
      <c r="A13" s="14" t="s">
        <v>1260</v>
      </c>
      <c r="B13" s="13">
        <v>173832878</v>
      </c>
      <c r="C13" s="13">
        <v>186466514</v>
      </c>
      <c r="D13" s="13">
        <v>193793628</v>
      </c>
      <c r="E13" s="13">
        <f t="shared" si="0"/>
        <v>19960750</v>
      </c>
      <c r="F13" s="163">
        <f t="shared" si="1"/>
        <v>0.11482724228957425</v>
      </c>
      <c r="G13" s="13">
        <f t="shared" si="2"/>
        <v>7327114</v>
      </c>
      <c r="H13" s="163">
        <f t="shared" si="3"/>
        <v>3.9294529847863191E-2</v>
      </c>
    </row>
    <row r="14" spans="1:8">
      <c r="A14" s="767" t="s">
        <v>1261</v>
      </c>
      <c r="B14" s="33">
        <v>149860731</v>
      </c>
      <c r="C14" s="33">
        <v>162785076</v>
      </c>
      <c r="D14" s="33">
        <v>171663257</v>
      </c>
      <c r="E14" s="33">
        <f t="shared" si="0"/>
        <v>21802526</v>
      </c>
      <c r="F14" s="768">
        <f t="shared" si="1"/>
        <v>0.14548525056907669</v>
      </c>
      <c r="G14" s="33">
        <f t="shared" si="2"/>
        <v>8878181</v>
      </c>
      <c r="H14" s="768">
        <f t="shared" si="3"/>
        <v>5.4539280984210126E-2</v>
      </c>
    </row>
    <row r="15" spans="1:8">
      <c r="A15" s="767" t="s">
        <v>1262</v>
      </c>
      <c r="B15" s="33">
        <v>23922347</v>
      </c>
      <c r="C15" s="33">
        <v>23601533</v>
      </c>
      <c r="D15" s="33">
        <v>22080571</v>
      </c>
      <c r="E15" s="33">
        <f t="shared" si="0"/>
        <v>-1841776</v>
      </c>
      <c r="F15" s="768">
        <f t="shared" si="1"/>
        <v>-7.6989770276302744E-2</v>
      </c>
      <c r="G15" s="33">
        <f t="shared" si="2"/>
        <v>-1520962</v>
      </c>
      <c r="H15" s="768">
        <f t="shared" si="3"/>
        <v>-6.4443356285373496E-2</v>
      </c>
    </row>
    <row r="16" spans="1:8">
      <c r="A16" s="767" t="s">
        <v>1263</v>
      </c>
      <c r="B16" s="33">
        <v>49800</v>
      </c>
      <c r="C16" s="33">
        <v>79905</v>
      </c>
      <c r="D16" s="33">
        <v>49800</v>
      </c>
      <c r="E16" s="33">
        <f t="shared" si="0"/>
        <v>0</v>
      </c>
      <c r="F16" s="768">
        <f t="shared" si="1"/>
        <v>0</v>
      </c>
      <c r="G16" s="33">
        <f t="shared" si="2"/>
        <v>-30105</v>
      </c>
      <c r="H16" s="768">
        <f t="shared" si="3"/>
        <v>-0.37675990238408108</v>
      </c>
    </row>
    <row r="17" spans="1:8">
      <c r="A17" s="14" t="s">
        <v>1264</v>
      </c>
      <c r="B17" s="13">
        <v>-834845003</v>
      </c>
      <c r="C17" s="13">
        <v>-924453788</v>
      </c>
      <c r="D17" s="13">
        <v>-951655536</v>
      </c>
      <c r="E17" s="13">
        <f t="shared" si="0"/>
        <v>-116810533</v>
      </c>
      <c r="F17" s="163">
        <f t="shared" si="1"/>
        <v>0.13991882634530184</v>
      </c>
      <c r="G17" s="13">
        <f t="shared" si="2"/>
        <v>-27201748</v>
      </c>
      <c r="H17" s="163">
        <f t="shared" si="3"/>
        <v>2.9424670387093486E-2</v>
      </c>
    </row>
    <row r="18" spans="1:8">
      <c r="A18" s="767" t="s">
        <v>1265</v>
      </c>
      <c r="B18" s="33">
        <v>-831845003</v>
      </c>
      <c r="C18" s="33">
        <v>-921453788</v>
      </c>
      <c r="D18" s="33">
        <v>-946655536</v>
      </c>
      <c r="E18" s="33">
        <f t="shared" si="0"/>
        <v>-114810533</v>
      </c>
      <c r="F18" s="768">
        <f t="shared" si="1"/>
        <v>0.1380191412894741</v>
      </c>
      <c r="G18" s="33">
        <f t="shared" si="2"/>
        <v>-25201748</v>
      </c>
      <c r="H18" s="768">
        <f t="shared" si="3"/>
        <v>2.7349985781381366E-2</v>
      </c>
    </row>
    <row r="19" spans="1:8">
      <c r="A19" s="767" t="s">
        <v>1266</v>
      </c>
      <c r="B19" s="33">
        <v>-3000000</v>
      </c>
      <c r="C19" s="33">
        <v>-3000000</v>
      </c>
      <c r="D19" s="33">
        <v>-5000000</v>
      </c>
      <c r="E19" s="33">
        <f t="shared" si="0"/>
        <v>-2000000</v>
      </c>
      <c r="F19" s="768">
        <f t="shared" si="1"/>
        <v>0.66666666666666663</v>
      </c>
      <c r="G19" s="33">
        <f t="shared" si="2"/>
        <v>-2000000</v>
      </c>
      <c r="H19" s="768">
        <f t="shared" si="3"/>
        <v>0.66666666666666663</v>
      </c>
    </row>
    <row r="20" spans="1:8">
      <c r="A20" s="14" t="s">
        <v>1267</v>
      </c>
      <c r="B20" s="13">
        <v>24358538</v>
      </c>
      <c r="C20" s="13">
        <v>-10236940</v>
      </c>
      <c r="D20" s="13">
        <v>5106152</v>
      </c>
      <c r="E20" s="13">
        <f t="shared" si="0"/>
        <v>-19252386</v>
      </c>
      <c r="F20" s="163">
        <f t="shared" si="1"/>
        <v>-0.79037526800664304</v>
      </c>
      <c r="G20" s="13">
        <f t="shared" si="2"/>
        <v>15343092</v>
      </c>
      <c r="H20" s="163">
        <f t="shared" si="3"/>
        <v>-1.4987967107358253</v>
      </c>
    </row>
    <row r="21" spans="1:8">
      <c r="A21" s="767"/>
      <c r="B21" s="767"/>
      <c r="C21" s="767"/>
      <c r="D21" s="767"/>
      <c r="E21" s="767"/>
      <c r="F21" s="768"/>
      <c r="G21" s="767"/>
      <c r="H21" s="768"/>
    </row>
    <row r="22" spans="1:8">
      <c r="A22" s="14" t="s">
        <v>1268</v>
      </c>
      <c r="B22" s="13">
        <v>9537000</v>
      </c>
      <c r="C22" s="13">
        <v>11868463</v>
      </c>
      <c r="D22" s="13">
        <v>10240000</v>
      </c>
      <c r="E22" s="13">
        <f t="shared" si="0"/>
        <v>703000</v>
      </c>
      <c r="F22" s="163">
        <f t="shared" si="1"/>
        <v>7.371290762294222E-2</v>
      </c>
      <c r="G22" s="13">
        <f t="shared" si="2"/>
        <v>-1628463</v>
      </c>
      <c r="H22" s="163">
        <f t="shared" si="3"/>
        <v>-0.13720925784577159</v>
      </c>
    </row>
    <row r="23" spans="1:8">
      <c r="A23" s="10" t="s">
        <v>1269</v>
      </c>
      <c r="B23" s="33">
        <v>640000</v>
      </c>
      <c r="C23" s="33">
        <v>1614000</v>
      </c>
      <c r="D23" s="33">
        <v>690000</v>
      </c>
      <c r="E23" s="33">
        <f t="shared" si="0"/>
        <v>50000</v>
      </c>
      <c r="F23" s="768">
        <f t="shared" si="1"/>
        <v>7.8125E-2</v>
      </c>
      <c r="G23" s="33">
        <f t="shared" si="2"/>
        <v>-924000</v>
      </c>
      <c r="H23" s="768">
        <f t="shared" si="3"/>
        <v>-0.57249070631970256</v>
      </c>
    </row>
    <row r="24" spans="1:8">
      <c r="A24" s="10" t="s">
        <v>1270</v>
      </c>
      <c r="B24" s="33">
        <v>8600000</v>
      </c>
      <c r="C24" s="33">
        <v>9957463</v>
      </c>
      <c r="D24" s="33">
        <v>6800000</v>
      </c>
      <c r="E24" s="33">
        <f t="shared" si="0"/>
        <v>-1800000</v>
      </c>
      <c r="F24" s="768">
        <f t="shared" si="1"/>
        <v>-0.20930232558139536</v>
      </c>
      <c r="G24" s="33">
        <f t="shared" si="2"/>
        <v>-3157463</v>
      </c>
      <c r="H24" s="768">
        <f t="shared" si="3"/>
        <v>-0.31709512754403407</v>
      </c>
    </row>
    <row r="25" spans="1:8">
      <c r="A25" s="10" t="s">
        <v>1271</v>
      </c>
      <c r="B25" s="33">
        <v>297000</v>
      </c>
      <c r="C25" s="33">
        <v>297000</v>
      </c>
      <c r="D25" s="33">
        <v>2750000</v>
      </c>
      <c r="E25" s="33">
        <f t="shared" si="0"/>
        <v>2453000</v>
      </c>
      <c r="F25" s="768">
        <f t="shared" si="1"/>
        <v>8.2592592592592595</v>
      </c>
      <c r="G25" s="33">
        <f t="shared" si="2"/>
        <v>2453000</v>
      </c>
      <c r="H25" s="768">
        <f t="shared" si="3"/>
        <v>8.2592592592592595</v>
      </c>
    </row>
    <row r="26" spans="1:8">
      <c r="A26" s="14" t="s">
        <v>1272</v>
      </c>
      <c r="B26" s="13">
        <v>-180887104</v>
      </c>
      <c r="C26" s="13">
        <v>-132958647</v>
      </c>
      <c r="D26" s="13">
        <v>-168079905</v>
      </c>
      <c r="E26" s="13">
        <f t="shared" si="0"/>
        <v>12807199</v>
      </c>
      <c r="F26" s="163">
        <f t="shared" si="1"/>
        <v>-7.0802167300992341E-2</v>
      </c>
      <c r="G26" s="13">
        <f t="shared" si="2"/>
        <v>-35121258</v>
      </c>
      <c r="H26" s="163">
        <f t="shared" si="3"/>
        <v>0.264151740352773</v>
      </c>
    </row>
    <row r="27" spans="1:8">
      <c r="A27" s="10" t="s">
        <v>1273</v>
      </c>
      <c r="B27" s="33">
        <v>-180887104</v>
      </c>
      <c r="C27" s="33">
        <v>-132958647</v>
      </c>
      <c r="D27" s="33">
        <v>-168079905</v>
      </c>
      <c r="E27" s="33">
        <f t="shared" si="0"/>
        <v>12807199</v>
      </c>
      <c r="F27" s="768">
        <f t="shared" si="1"/>
        <v>-7.0802167300992341E-2</v>
      </c>
      <c r="G27" s="33">
        <f t="shared" si="2"/>
        <v>-35121258</v>
      </c>
      <c r="H27" s="768">
        <f t="shared" si="3"/>
        <v>0.264151740352773</v>
      </c>
    </row>
    <row r="28" spans="1:8">
      <c r="A28" s="14" t="s">
        <v>1274</v>
      </c>
      <c r="B28" s="13">
        <v>-171350104</v>
      </c>
      <c r="C28" s="43">
        <v>-121090184</v>
      </c>
      <c r="D28" s="13">
        <v>-157839905</v>
      </c>
      <c r="E28" s="13">
        <f t="shared" si="0"/>
        <v>13510199</v>
      </c>
      <c r="F28" s="163">
        <f t="shared" si="1"/>
        <v>-7.8845583892963381E-2</v>
      </c>
      <c r="G28" s="13">
        <f t="shared" si="2"/>
        <v>-36749721</v>
      </c>
      <c r="H28" s="163">
        <f t="shared" si="3"/>
        <v>0.30349050423443075</v>
      </c>
    </row>
    <row r="29" spans="1:8">
      <c r="A29" s="767"/>
      <c r="B29" s="767"/>
      <c r="C29" s="767"/>
      <c r="D29" s="767"/>
      <c r="E29" s="767"/>
      <c r="F29" s="768"/>
      <c r="G29" s="767"/>
      <c r="H29" s="768"/>
    </row>
    <row r="30" spans="1:8">
      <c r="A30" s="14" t="s">
        <v>1275</v>
      </c>
      <c r="B30" s="13">
        <v>97345608</v>
      </c>
      <c r="C30" s="13">
        <v>97345608</v>
      </c>
      <c r="D30" s="13">
        <v>97345608</v>
      </c>
      <c r="E30" s="13">
        <f t="shared" si="0"/>
        <v>0</v>
      </c>
      <c r="F30" s="163">
        <f t="shared" si="1"/>
        <v>0</v>
      </c>
      <c r="G30" s="13">
        <f t="shared" si="2"/>
        <v>0</v>
      </c>
      <c r="H30" s="163">
        <f t="shared" si="3"/>
        <v>0</v>
      </c>
    </row>
    <row r="31" spans="1:8">
      <c r="A31" s="767" t="s">
        <v>1276</v>
      </c>
      <c r="B31" s="33">
        <v>90000000</v>
      </c>
      <c r="C31" s="33">
        <v>90000000</v>
      </c>
      <c r="D31" s="33">
        <v>90000000</v>
      </c>
      <c r="E31" s="33">
        <f t="shared" si="0"/>
        <v>0</v>
      </c>
      <c r="F31" s="768">
        <f t="shared" si="1"/>
        <v>0</v>
      </c>
      <c r="G31" s="33">
        <f t="shared" si="2"/>
        <v>0</v>
      </c>
      <c r="H31" s="768">
        <f t="shared" si="3"/>
        <v>0</v>
      </c>
    </row>
    <row r="32" spans="1:8">
      <c r="A32" s="767" t="s">
        <v>1277</v>
      </c>
      <c r="B32" s="33">
        <v>7345608</v>
      </c>
      <c r="C32" s="33">
        <v>7345608</v>
      </c>
      <c r="D32" s="33">
        <v>7345608</v>
      </c>
      <c r="E32" s="33">
        <f t="shared" si="0"/>
        <v>0</v>
      </c>
      <c r="F32" s="768">
        <f t="shared" si="1"/>
        <v>0</v>
      </c>
      <c r="G32" s="33">
        <f t="shared" si="2"/>
        <v>0</v>
      </c>
      <c r="H32" s="768">
        <f t="shared" si="3"/>
        <v>0</v>
      </c>
    </row>
    <row r="33" spans="1:8">
      <c r="A33" s="14" t="s">
        <v>1278</v>
      </c>
      <c r="B33" s="13">
        <v>-17114426</v>
      </c>
      <c r="C33" s="13">
        <v>-17114426</v>
      </c>
      <c r="D33" s="13">
        <v>-21195426</v>
      </c>
      <c r="E33" s="13">
        <f t="shared" si="0"/>
        <v>-4081000</v>
      </c>
      <c r="F33" s="163">
        <f t="shared" si="1"/>
        <v>0.23845380499468694</v>
      </c>
      <c r="G33" s="13">
        <f t="shared" si="2"/>
        <v>-4081000</v>
      </c>
      <c r="H33" s="163">
        <f t="shared" si="3"/>
        <v>0.23845380499468694</v>
      </c>
    </row>
    <row r="34" spans="1:8">
      <c r="A34" s="10" t="s">
        <v>1279</v>
      </c>
      <c r="B34" s="33">
        <v>-16209156</v>
      </c>
      <c r="C34" s="33">
        <v>-16209156</v>
      </c>
      <c r="D34" s="33">
        <v>-20209156</v>
      </c>
      <c r="E34" s="33">
        <f t="shared" si="0"/>
        <v>-4000000</v>
      </c>
      <c r="F34" s="768">
        <f t="shared" si="1"/>
        <v>0.24677410717744958</v>
      </c>
      <c r="G34" s="33">
        <f t="shared" si="2"/>
        <v>-4000000</v>
      </c>
      <c r="H34" s="768">
        <f t="shared" si="3"/>
        <v>0.24677410717744958</v>
      </c>
    </row>
    <row r="35" spans="1:8">
      <c r="A35" s="767" t="s">
        <v>1280</v>
      </c>
      <c r="B35" s="33">
        <v>-905270</v>
      </c>
      <c r="C35" s="33">
        <v>-905270</v>
      </c>
      <c r="D35" s="33">
        <v>-986270</v>
      </c>
      <c r="E35" s="33">
        <f t="shared" si="0"/>
        <v>-81000</v>
      </c>
      <c r="F35" s="768">
        <f t="shared" si="1"/>
        <v>8.9476067913440191E-2</v>
      </c>
      <c r="G35" s="33">
        <f t="shared" si="2"/>
        <v>-81000</v>
      </c>
      <c r="H35" s="768">
        <f t="shared" si="3"/>
        <v>8.9476067913440191E-2</v>
      </c>
    </row>
    <row r="36" spans="1:8">
      <c r="A36" s="14" t="s">
        <v>1281</v>
      </c>
      <c r="B36" s="13">
        <v>80231182</v>
      </c>
      <c r="C36" s="13">
        <v>80231182</v>
      </c>
      <c r="D36" s="13">
        <v>76150182</v>
      </c>
      <c r="E36" s="13">
        <f t="shared" si="0"/>
        <v>-4081000</v>
      </c>
      <c r="F36" s="163">
        <f t="shared" si="1"/>
        <v>-5.0865510120491557E-2</v>
      </c>
      <c r="G36" s="13">
        <f t="shared" si="2"/>
        <v>-4081000</v>
      </c>
      <c r="H36" s="163">
        <f t="shared" si="3"/>
        <v>-5.0865510120491557E-2</v>
      </c>
    </row>
    <row r="37" spans="1:8">
      <c r="A37" s="767"/>
      <c r="B37" s="767"/>
      <c r="C37" s="767"/>
      <c r="D37" s="767"/>
      <c r="E37" s="767"/>
      <c r="F37" s="768"/>
      <c r="G37" s="767"/>
      <c r="H37" s="768"/>
    </row>
    <row r="38" spans="1:8">
      <c r="A38" s="14" t="s">
        <v>1282</v>
      </c>
      <c r="B38" s="13">
        <v>966086149</v>
      </c>
      <c r="C38" s="13">
        <v>1023430919</v>
      </c>
      <c r="D38" s="13">
        <v>1064347296</v>
      </c>
      <c r="E38" s="13"/>
      <c r="F38" s="163"/>
      <c r="G38" s="13"/>
      <c r="H38" s="163"/>
    </row>
    <row r="39" spans="1:8">
      <c r="A39" s="14" t="s">
        <v>1283</v>
      </c>
      <c r="B39" s="13">
        <v>-1032846533</v>
      </c>
      <c r="C39" s="13">
        <v>-1074526861</v>
      </c>
      <c r="D39" s="13">
        <v>-1140930867</v>
      </c>
      <c r="E39" s="13">
        <f>D39-B39</f>
        <v>-108084334</v>
      </c>
      <c r="F39" s="163">
        <f>E39/B39</f>
        <v>0.10464704149808092</v>
      </c>
      <c r="G39" s="13">
        <f>D39-C39</f>
        <v>-66404006</v>
      </c>
      <c r="H39" s="163">
        <f>G39/C39</f>
        <v>6.179836764452927E-2</v>
      </c>
    </row>
  </sheetData>
  <mergeCells count="3">
    <mergeCell ref="B3:C3"/>
    <mergeCell ref="E3:F3"/>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1EF2E-A57F-4649-B9F4-C74787029B07}">
  <sheetPr>
    <tabColor theme="9" tint="0.79998168889431442"/>
  </sheetPr>
  <dimension ref="A1:L59"/>
  <sheetViews>
    <sheetView workbookViewId="0"/>
  </sheetViews>
  <sheetFormatPr defaultColWidth="9.21875" defaultRowHeight="13.2"/>
  <cols>
    <col min="1" max="1" width="32.77734375" style="105" customWidth="1"/>
    <col min="2" max="2" width="11.77734375" style="105" bestFit="1" customWidth="1"/>
    <col min="3" max="5" width="11.21875" style="105" hidden="1" customWidth="1"/>
    <col min="6" max="6" width="11.77734375" style="105" bestFit="1" customWidth="1"/>
    <col min="7" max="7" width="12.21875" style="105" bestFit="1" customWidth="1"/>
    <col min="8" max="8" width="12.21875" style="105" customWidth="1"/>
    <col min="9" max="9" width="12.21875" style="733" customWidth="1"/>
    <col min="10" max="11" width="12.21875" style="105" customWidth="1"/>
    <col min="12" max="16384" width="9.21875" style="105"/>
  </cols>
  <sheetData>
    <row r="1" spans="1:11" ht="12.75" customHeight="1">
      <c r="A1" s="670" t="s">
        <v>1220</v>
      </c>
      <c r="B1" s="668"/>
      <c r="C1" s="668"/>
      <c r="D1" s="668"/>
      <c r="E1" s="668"/>
      <c r="F1" s="668"/>
      <c r="G1" s="669"/>
      <c r="H1" s="669"/>
      <c r="I1" s="726"/>
      <c r="J1" s="669"/>
      <c r="K1" s="669"/>
    </row>
    <row r="2" spans="1:11" ht="12.75" customHeight="1">
      <c r="A2" s="670"/>
      <c r="B2" s="668"/>
      <c r="C2" s="668"/>
      <c r="D2" s="668"/>
      <c r="E2" s="668"/>
      <c r="F2" s="668"/>
      <c r="G2" s="669"/>
      <c r="H2" s="669"/>
      <c r="I2" s="726"/>
      <c r="J2" s="669"/>
      <c r="K2" s="669"/>
    </row>
    <row r="3" spans="1:11" ht="24.75" customHeight="1">
      <c r="A3" s="671"/>
      <c r="B3" s="760">
        <v>2022</v>
      </c>
      <c r="C3" s="761"/>
      <c r="D3" s="761"/>
      <c r="E3" s="761"/>
      <c r="F3" s="762"/>
      <c r="G3" s="638">
        <v>2023</v>
      </c>
      <c r="H3" s="758" t="s">
        <v>1212</v>
      </c>
      <c r="I3" s="759"/>
      <c r="J3" s="756" t="s">
        <v>1213</v>
      </c>
      <c r="K3" s="757"/>
    </row>
    <row r="4" spans="1:11" ht="26.4">
      <c r="A4" s="671"/>
      <c r="B4" s="644" t="s">
        <v>667</v>
      </c>
      <c r="C4" s="644" t="s">
        <v>827</v>
      </c>
      <c r="D4" s="644" t="s">
        <v>828</v>
      </c>
      <c r="E4" s="644" t="s">
        <v>1250</v>
      </c>
      <c r="F4" s="644" t="s">
        <v>668</v>
      </c>
      <c r="G4" s="639" t="s">
        <v>1211</v>
      </c>
      <c r="H4" s="640" t="s">
        <v>14</v>
      </c>
      <c r="I4" s="641" t="s">
        <v>743</v>
      </c>
      <c r="J4" s="642" t="s">
        <v>14</v>
      </c>
      <c r="K4" s="643" t="s">
        <v>743</v>
      </c>
    </row>
    <row r="5" spans="1:11">
      <c r="A5" s="672" t="s">
        <v>1132</v>
      </c>
      <c r="B5" s="154">
        <f t="shared" ref="B5:G5" si="0">SUM(B7:B10)</f>
        <v>831661746</v>
      </c>
      <c r="C5" s="154">
        <f t="shared" si="0"/>
        <v>5343000</v>
      </c>
      <c r="D5" s="154">
        <f t="shared" si="0"/>
        <v>27669132</v>
      </c>
      <c r="E5" s="154">
        <f t="shared" si="0"/>
        <v>23025349</v>
      </c>
      <c r="F5" s="673">
        <f>SUM(B5:E5)</f>
        <v>887699227</v>
      </c>
      <c r="G5" s="154">
        <f t="shared" si="0"/>
        <v>934242461</v>
      </c>
      <c r="H5" s="600">
        <f>G5-B5</f>
        <v>102580715</v>
      </c>
      <c r="I5" s="727">
        <f>H5/B5</f>
        <v>0.12334427487302031</v>
      </c>
      <c r="J5" s="600">
        <f>G5-F5</f>
        <v>46543234</v>
      </c>
      <c r="K5" s="727">
        <f>J5/F5</f>
        <v>5.24313107236715E-2</v>
      </c>
    </row>
    <row r="6" spans="1:11">
      <c r="B6" s="21"/>
      <c r="C6" s="10"/>
      <c r="D6" s="10"/>
      <c r="E6" s="10"/>
      <c r="G6" s="599"/>
      <c r="H6" s="599"/>
      <c r="I6" s="728"/>
      <c r="J6" s="599"/>
      <c r="K6" s="728"/>
    </row>
    <row r="7" spans="1:11">
      <c r="A7" s="105" t="s">
        <v>1133</v>
      </c>
      <c r="B7" s="151">
        <v>593370000</v>
      </c>
      <c r="C7" s="15">
        <v>5343000</v>
      </c>
      <c r="D7" s="15">
        <v>14600000</v>
      </c>
      <c r="E7" s="15">
        <v>12000000</v>
      </c>
      <c r="F7" s="674">
        <f t="shared" ref="F7:F10" si="1">SUM(B7:E7)</f>
        <v>625313000</v>
      </c>
      <c r="G7" s="601">
        <v>664270000</v>
      </c>
      <c r="H7" s="601">
        <f>G7-B7</f>
        <v>70900000</v>
      </c>
      <c r="I7" s="728">
        <f>H7/B7</f>
        <v>0.11948699799450596</v>
      </c>
      <c r="J7" s="601">
        <f>G7-F7</f>
        <v>38957000</v>
      </c>
      <c r="K7" s="728">
        <f>J7/F7</f>
        <v>6.2300000159919912E-2</v>
      </c>
    </row>
    <row r="8" spans="1:11">
      <c r="A8" s="105" t="s">
        <v>1134</v>
      </c>
      <c r="B8" s="151">
        <v>90630063</v>
      </c>
      <c r="C8" s="15"/>
      <c r="D8" s="15">
        <v>4830204</v>
      </c>
      <c r="E8" s="15">
        <v>4999964</v>
      </c>
      <c r="F8" s="674">
        <f t="shared" si="1"/>
        <v>100460231</v>
      </c>
      <c r="G8" s="601">
        <v>97251060</v>
      </c>
      <c r="H8" s="601">
        <f>G8-B8</f>
        <v>6620997</v>
      </c>
      <c r="I8" s="728">
        <f>H8/B8</f>
        <v>7.3055195823928762E-2</v>
      </c>
      <c r="J8" s="601">
        <f>G8-F8</f>
        <v>-3209171</v>
      </c>
      <c r="K8" s="728">
        <f>J8/F8</f>
        <v>-3.1944690630862672E-2</v>
      </c>
    </row>
    <row r="9" spans="1:11">
      <c r="A9" s="105" t="s">
        <v>1135</v>
      </c>
      <c r="B9" s="151">
        <v>146291083</v>
      </c>
      <c r="C9" s="15"/>
      <c r="D9" s="15">
        <v>7793974</v>
      </c>
      <c r="E9" s="15">
        <v>5863836</v>
      </c>
      <c r="F9" s="674">
        <f t="shared" si="1"/>
        <v>159948893</v>
      </c>
      <c r="G9" s="601">
        <v>171274401</v>
      </c>
      <c r="H9" s="601">
        <f>G9-B9</f>
        <v>24983318</v>
      </c>
      <c r="I9" s="728">
        <f>H9/B9</f>
        <v>0.17077813279979615</v>
      </c>
      <c r="J9" s="601">
        <f>G9-F9</f>
        <v>11325508</v>
      </c>
      <c r="K9" s="728">
        <f>J9/F9</f>
        <v>7.0807042096877784E-2</v>
      </c>
    </row>
    <row r="10" spans="1:11">
      <c r="A10" s="105" t="s">
        <v>1136</v>
      </c>
      <c r="B10" s="151">
        <v>1370600</v>
      </c>
      <c r="C10" s="15"/>
      <c r="D10" s="15">
        <v>444954</v>
      </c>
      <c r="E10" s="15">
        <v>161549</v>
      </c>
      <c r="F10" s="674">
        <f t="shared" si="1"/>
        <v>1977103</v>
      </c>
      <c r="G10" s="601">
        <v>1447000</v>
      </c>
      <c r="H10" s="601">
        <f>G10-B10</f>
        <v>76400</v>
      </c>
      <c r="I10" s="728">
        <f>H10/B10</f>
        <v>5.5742010798190571E-2</v>
      </c>
      <c r="J10" s="601">
        <f>G10-F10</f>
        <v>-530103</v>
      </c>
      <c r="K10" s="728">
        <f>J10/F10</f>
        <v>-0.26812108423283965</v>
      </c>
    </row>
    <row r="11" spans="1:11">
      <c r="B11" s="21"/>
      <c r="C11" s="10"/>
      <c r="D11" s="10"/>
      <c r="E11" s="10"/>
      <c r="G11" s="599"/>
      <c r="H11" s="599"/>
      <c r="I11" s="728"/>
      <c r="J11" s="599"/>
      <c r="K11" s="728"/>
    </row>
    <row r="12" spans="1:11">
      <c r="A12" s="672" t="s">
        <v>1137</v>
      </c>
      <c r="B12" s="154">
        <f t="shared" ref="B12:G12" si="2">SUM(B14:B16)</f>
        <v>744363964</v>
      </c>
      <c r="C12" s="154">
        <f t="shared" si="2"/>
        <v>9843000</v>
      </c>
      <c r="D12" s="154">
        <f t="shared" si="2"/>
        <v>36084885</v>
      </c>
      <c r="E12" s="154">
        <f t="shared" si="2"/>
        <v>38027330</v>
      </c>
      <c r="F12" s="673">
        <f>SUM(B12:E12)</f>
        <v>828319179</v>
      </c>
      <c r="G12" s="154">
        <f t="shared" si="2"/>
        <v>900451512</v>
      </c>
      <c r="H12" s="600">
        <f>G12-B12</f>
        <v>156087548</v>
      </c>
      <c r="I12" s="727">
        <f>H12/B12</f>
        <v>0.20969251004741007</v>
      </c>
      <c r="J12" s="600">
        <f>G12-F12</f>
        <v>72132333</v>
      </c>
      <c r="K12" s="727">
        <f>J12/F12</f>
        <v>8.7082775370579707E-2</v>
      </c>
    </row>
    <row r="13" spans="1:11">
      <c r="B13" s="21"/>
      <c r="C13" s="10"/>
      <c r="D13" s="10"/>
      <c r="E13" s="10"/>
      <c r="G13" s="599"/>
      <c r="H13" s="599"/>
      <c r="I13" s="728"/>
      <c r="J13" s="599"/>
      <c r="K13" s="728"/>
    </row>
    <row r="14" spans="1:11">
      <c r="A14" s="105" t="s">
        <v>1138</v>
      </c>
      <c r="B14" s="151">
        <v>144928899</v>
      </c>
      <c r="C14" s="15"/>
      <c r="D14" s="15">
        <v>8956847</v>
      </c>
      <c r="E14" s="15">
        <v>20399527</v>
      </c>
      <c r="F14" s="15">
        <f t="shared" ref="F14:F16" si="3">SUM(B14:E14)</f>
        <v>174285273</v>
      </c>
      <c r="G14" s="601">
        <v>167975147</v>
      </c>
      <c r="H14" s="601">
        <f>G14-B14</f>
        <v>23046248</v>
      </c>
      <c r="I14" s="728">
        <f>H14/B14</f>
        <v>0.15901761594145555</v>
      </c>
      <c r="J14" s="601">
        <f>G14-F14</f>
        <v>-6310126</v>
      </c>
      <c r="K14" s="728">
        <f>J14/F14</f>
        <v>-3.6205732655334569E-2</v>
      </c>
    </row>
    <row r="15" spans="1:11">
      <c r="A15" s="105" t="s">
        <v>1139</v>
      </c>
      <c r="B15" s="151">
        <v>592616565</v>
      </c>
      <c r="C15" s="15">
        <v>9843000</v>
      </c>
      <c r="D15" s="15">
        <v>30228038</v>
      </c>
      <c r="E15" s="15">
        <v>16327336</v>
      </c>
      <c r="F15" s="15">
        <f t="shared" si="3"/>
        <v>649014939</v>
      </c>
      <c r="G15" s="601">
        <v>727695655</v>
      </c>
      <c r="H15" s="601">
        <f>G15-B15</f>
        <v>135079090</v>
      </c>
      <c r="I15" s="728">
        <f>H15/B15</f>
        <v>0.22793674355019083</v>
      </c>
      <c r="J15" s="601">
        <f>G15-F15</f>
        <v>78680716</v>
      </c>
      <c r="K15" s="728">
        <f>J15/F15</f>
        <v>0.12123097832113229</v>
      </c>
    </row>
    <row r="16" spans="1:11">
      <c r="A16" s="105" t="s">
        <v>1140</v>
      </c>
      <c r="B16" s="151">
        <v>6818500</v>
      </c>
      <c r="C16" s="15"/>
      <c r="D16" s="15">
        <v>-3100000</v>
      </c>
      <c r="E16" s="15">
        <v>1300467</v>
      </c>
      <c r="F16" s="674">
        <f t="shared" si="3"/>
        <v>5018967</v>
      </c>
      <c r="G16" s="601">
        <v>4780710</v>
      </c>
      <c r="H16" s="601">
        <f>G16-B16</f>
        <v>-2037790</v>
      </c>
      <c r="I16" s="728">
        <f>H16/B16</f>
        <v>-0.29886191977707705</v>
      </c>
      <c r="J16" s="601">
        <f>G16-F16</f>
        <v>-238257</v>
      </c>
      <c r="K16" s="728">
        <f>J16/F16</f>
        <v>-4.7471322286040132E-2</v>
      </c>
    </row>
    <row r="17" spans="1:12">
      <c r="B17" s="21"/>
      <c r="C17" s="10"/>
      <c r="D17" s="10"/>
      <c r="E17" s="10"/>
      <c r="G17" s="599"/>
      <c r="H17" s="599"/>
      <c r="I17" s="728"/>
      <c r="J17" s="599"/>
      <c r="K17" s="728"/>
    </row>
    <row r="18" spans="1:12">
      <c r="A18" s="105" t="s">
        <v>1141</v>
      </c>
      <c r="B18" s="151">
        <f t="shared" ref="B18:E18" si="4">B5-B12</f>
        <v>87297782</v>
      </c>
      <c r="C18" s="151">
        <f t="shared" si="4"/>
        <v>-4500000</v>
      </c>
      <c r="D18" s="151">
        <f t="shared" si="4"/>
        <v>-8415753</v>
      </c>
      <c r="E18" s="151">
        <f t="shared" si="4"/>
        <v>-15001981</v>
      </c>
      <c r="F18" s="674">
        <f>SUM(B18:E18)</f>
        <v>59380048</v>
      </c>
      <c r="G18" s="151">
        <f t="shared" ref="G18" si="5">G5-G12</f>
        <v>33790949</v>
      </c>
      <c r="H18" s="601">
        <f>G18-B18</f>
        <v>-53506833</v>
      </c>
      <c r="I18" s="728">
        <f>H18/B18</f>
        <v>-0.61292316682226822</v>
      </c>
      <c r="J18" s="601">
        <f>G18-F18</f>
        <v>-25589099</v>
      </c>
      <c r="K18" s="728">
        <f>J18/F18</f>
        <v>-0.43093766108104192</v>
      </c>
    </row>
    <row r="19" spans="1:12">
      <c r="B19" s="21"/>
      <c r="C19" s="10"/>
      <c r="D19" s="10"/>
      <c r="E19" s="10"/>
      <c r="G19" s="21"/>
      <c r="H19" s="599"/>
      <c r="I19" s="728"/>
      <c r="J19" s="599"/>
      <c r="K19" s="728"/>
    </row>
    <row r="20" spans="1:12">
      <c r="A20" s="672" t="s">
        <v>1142</v>
      </c>
      <c r="B20" s="154">
        <f t="shared" ref="B20:E20" si="6">B22-B23+B24-B25-B27+B28+B30+B31-B32-B29</f>
        <v>-226931240</v>
      </c>
      <c r="C20" s="154">
        <f t="shared" si="6"/>
        <v>0</v>
      </c>
      <c r="D20" s="154">
        <f t="shared" si="6"/>
        <v>14839611</v>
      </c>
      <c r="E20" s="154">
        <f t="shared" si="6"/>
        <v>28742565</v>
      </c>
      <c r="F20" s="154">
        <f>SUM(B20:E20)</f>
        <v>-183349064</v>
      </c>
      <c r="G20" s="154">
        <f t="shared" ref="G20" si="7">G22-G23+G24-G25-G27+G28+G30+G31-G32-G29</f>
        <v>-179166594</v>
      </c>
      <c r="H20" s="600">
        <f>G20-B20</f>
        <v>47764646</v>
      </c>
      <c r="I20" s="727">
        <f>H20/B20</f>
        <v>-0.21048069891126492</v>
      </c>
      <c r="J20" s="600">
        <f>G20-F20</f>
        <v>4182470</v>
      </c>
      <c r="K20" s="727">
        <f>J20/F20</f>
        <v>-2.2811515416299045E-2</v>
      </c>
    </row>
    <row r="21" spans="1:12">
      <c r="B21" s="21"/>
      <c r="C21" s="10"/>
      <c r="D21" s="10"/>
      <c r="E21" s="10"/>
      <c r="G21" s="599"/>
      <c r="H21" s="599"/>
      <c r="I21" s="728"/>
      <c r="J21" s="599"/>
      <c r="K21" s="728"/>
    </row>
    <row r="22" spans="1:12">
      <c r="A22" s="105" t="s">
        <v>1143</v>
      </c>
      <c r="B22" s="151">
        <v>640000</v>
      </c>
      <c r="C22" s="10"/>
      <c r="D22" s="151">
        <v>355116</v>
      </c>
      <c r="E22" s="151">
        <v>618884</v>
      </c>
      <c r="F22" s="151">
        <f t="shared" ref="F22:F25" si="8">SUM(B22:E22)</f>
        <v>1614000</v>
      </c>
      <c r="G22" s="601">
        <v>690000</v>
      </c>
      <c r="H22" s="601">
        <f>G22-B22</f>
        <v>50000</v>
      </c>
      <c r="I22" s="728">
        <f>H22/B22</f>
        <v>7.8125E-2</v>
      </c>
      <c r="J22" s="601">
        <f>G22-F22</f>
        <v>-924000</v>
      </c>
      <c r="K22" s="728">
        <f>J22/F22</f>
        <v>-0.57249070631970256</v>
      </c>
    </row>
    <row r="23" spans="1:12">
      <c r="A23" s="105" t="s">
        <v>1144</v>
      </c>
      <c r="B23" s="151">
        <v>222223258</v>
      </c>
      <c r="C23" s="15"/>
      <c r="D23" s="151">
        <v>-28994944</v>
      </c>
      <c r="E23" s="151">
        <v>-34321535</v>
      </c>
      <c r="F23" s="151">
        <f t="shared" si="8"/>
        <v>158906779</v>
      </c>
      <c r="G23" s="601">
        <v>192796585</v>
      </c>
      <c r="H23" s="601">
        <f>G23-B23</f>
        <v>-29426673</v>
      </c>
      <c r="I23" s="728">
        <f>H23/B23</f>
        <v>-0.13241941129312396</v>
      </c>
      <c r="J23" s="601">
        <f>G23-F23</f>
        <v>33889806</v>
      </c>
      <c r="K23" s="728">
        <f>J23/F23</f>
        <v>0.21326847232867266</v>
      </c>
    </row>
    <row r="24" spans="1:12">
      <c r="A24" s="105" t="s">
        <v>1145</v>
      </c>
      <c r="B24" s="151">
        <v>27541795</v>
      </c>
      <c r="C24" s="15"/>
      <c r="D24" s="151">
        <v>660283</v>
      </c>
      <c r="E24" s="151">
        <v>-1684457</v>
      </c>
      <c r="F24" s="151">
        <f t="shared" si="8"/>
        <v>26517621</v>
      </c>
      <c r="G24" s="601">
        <v>22519227</v>
      </c>
      <c r="H24" s="601">
        <f>G24-B24</f>
        <v>-5022568</v>
      </c>
      <c r="I24" s="728">
        <f>H24/B24</f>
        <v>-0.18236167976705947</v>
      </c>
      <c r="J24" s="601">
        <f>G24-F24</f>
        <v>-3998394</v>
      </c>
      <c r="K24" s="728">
        <f>J24/F24</f>
        <v>-0.15078253060483821</v>
      </c>
    </row>
    <row r="25" spans="1:12">
      <c r="A25" s="105" t="s">
        <v>1146</v>
      </c>
      <c r="B25" s="151">
        <v>43231551</v>
      </c>
      <c r="C25" s="15"/>
      <c r="D25" s="151">
        <v>16498195</v>
      </c>
      <c r="E25" s="151">
        <v>4505156</v>
      </c>
      <c r="F25" s="151">
        <f t="shared" si="8"/>
        <v>64234902</v>
      </c>
      <c r="G25" s="601">
        <v>18304010</v>
      </c>
      <c r="H25" s="601">
        <f>G25-B25</f>
        <v>-24927541</v>
      </c>
      <c r="I25" s="728">
        <f>H25/B25</f>
        <v>-0.57660528996519234</v>
      </c>
      <c r="J25" s="601">
        <f>G25-F25</f>
        <v>-45930892</v>
      </c>
      <c r="K25" s="728">
        <f>J25/F25</f>
        <v>-0.71504572389633292</v>
      </c>
    </row>
    <row r="26" spans="1:12">
      <c r="B26" s="151"/>
      <c r="C26" s="15"/>
      <c r="D26" s="15"/>
      <c r="E26" s="15"/>
      <c r="F26" s="15"/>
      <c r="G26" s="601"/>
      <c r="H26" s="601"/>
      <c r="I26" s="728"/>
      <c r="J26" s="601"/>
      <c r="K26" s="728"/>
    </row>
    <row r="27" spans="1:12">
      <c r="A27" s="105" t="s">
        <v>1147</v>
      </c>
      <c r="B27" s="151">
        <v>0</v>
      </c>
      <c r="C27" s="15"/>
      <c r="D27" s="15">
        <v>0</v>
      </c>
      <c r="E27" s="15">
        <v>0</v>
      </c>
      <c r="F27" s="15">
        <f t="shared" ref="F27:F32" si="9">SUM(B27:E27)</f>
        <v>0</v>
      </c>
      <c r="G27" s="601">
        <v>0</v>
      </c>
      <c r="H27" s="601"/>
      <c r="I27" s="728"/>
      <c r="J27" s="601"/>
      <c r="K27" s="728"/>
    </row>
    <row r="28" spans="1:12">
      <c r="A28" s="21" t="s">
        <v>1148</v>
      </c>
      <c r="B28" s="151">
        <v>7358108</v>
      </c>
      <c r="C28" s="15"/>
      <c r="D28" s="15">
        <v>0</v>
      </c>
      <c r="E28" s="15">
        <v>0</v>
      </c>
      <c r="F28" s="15">
        <f t="shared" si="9"/>
        <v>7358108</v>
      </c>
      <c r="G28" s="601">
        <v>7358108</v>
      </c>
      <c r="H28" s="601">
        <f>G28-B28</f>
        <v>0</v>
      </c>
      <c r="I28" s="728">
        <f>H28/B28</f>
        <v>0</v>
      </c>
      <c r="J28" s="601">
        <f>G28-F28</f>
        <v>0</v>
      </c>
      <c r="K28" s="728">
        <f>J28/F28</f>
        <v>0</v>
      </c>
      <c r="L28" s="674"/>
    </row>
    <row r="29" spans="1:12">
      <c r="A29" s="21" t="s">
        <v>1221</v>
      </c>
      <c r="B29" s="151"/>
      <c r="C29" s="15"/>
      <c r="D29" s="15"/>
      <c r="E29" s="15"/>
      <c r="F29" s="15">
        <f t="shared" si="9"/>
        <v>0</v>
      </c>
      <c r="G29" s="601"/>
      <c r="H29" s="601"/>
      <c r="I29" s="728"/>
      <c r="J29" s="601"/>
      <c r="K29" s="728"/>
    </row>
    <row r="30" spans="1:12">
      <c r="A30" s="21" t="s">
        <v>1222</v>
      </c>
      <c r="B30" s="151"/>
      <c r="C30" s="15"/>
      <c r="D30" s="15"/>
      <c r="E30" s="15"/>
      <c r="F30" s="15">
        <f t="shared" si="9"/>
        <v>0</v>
      </c>
      <c r="G30" s="601"/>
      <c r="H30" s="601"/>
      <c r="I30" s="728"/>
      <c r="J30" s="601"/>
      <c r="K30" s="728"/>
    </row>
    <row r="31" spans="1:12">
      <c r="A31" s="105" t="s">
        <v>1149</v>
      </c>
      <c r="B31" s="151">
        <v>8897000</v>
      </c>
      <c r="C31" s="15"/>
      <c r="D31" s="15">
        <v>1357463</v>
      </c>
      <c r="E31" s="15">
        <v>0</v>
      </c>
      <c r="F31" s="15">
        <f t="shared" si="9"/>
        <v>10254463</v>
      </c>
      <c r="G31" s="601">
        <v>9550000</v>
      </c>
      <c r="H31" s="601">
        <f>G31-B31</f>
        <v>653000</v>
      </c>
      <c r="I31" s="728">
        <f>H31/B31</f>
        <v>7.3395526581993928E-2</v>
      </c>
      <c r="J31" s="601">
        <f>G31-F31</f>
        <v>-704463</v>
      </c>
      <c r="K31" s="728">
        <f>J31/F31</f>
        <v>-6.8698185365728068E-2</v>
      </c>
    </row>
    <row r="32" spans="1:12">
      <c r="A32" s="105" t="s">
        <v>1150</v>
      </c>
      <c r="B32" s="151">
        <v>5913334</v>
      </c>
      <c r="C32" s="15"/>
      <c r="D32" s="15">
        <v>30000</v>
      </c>
      <c r="E32" s="15">
        <v>8241</v>
      </c>
      <c r="F32" s="15">
        <f t="shared" si="9"/>
        <v>5951575</v>
      </c>
      <c r="G32" s="601">
        <v>8183334</v>
      </c>
      <c r="H32" s="601">
        <f>G32-B32</f>
        <v>2270000</v>
      </c>
      <c r="I32" s="728">
        <f>H32/B32</f>
        <v>0.38387819798441963</v>
      </c>
      <c r="J32" s="601">
        <f>G32-F32</f>
        <v>2231759</v>
      </c>
      <c r="K32" s="728">
        <f>J32/F32</f>
        <v>0.37498628514300836</v>
      </c>
    </row>
    <row r="33" spans="1:12">
      <c r="B33" s="21"/>
      <c r="C33" s="10"/>
      <c r="D33" s="10"/>
      <c r="E33" s="10"/>
      <c r="G33" s="599"/>
      <c r="H33" s="599"/>
      <c r="I33" s="728"/>
      <c r="J33" s="599"/>
      <c r="K33" s="728"/>
    </row>
    <row r="34" spans="1:12">
      <c r="A34" s="105" t="s">
        <v>1151</v>
      </c>
      <c r="B34" s="151">
        <f>B18+B20</f>
        <v>-139633458</v>
      </c>
      <c r="C34" s="151">
        <f>C18+C20</f>
        <v>-4500000</v>
      </c>
      <c r="D34" s="151">
        <f>D18+D20</f>
        <v>6423858</v>
      </c>
      <c r="E34" s="151">
        <f>E18+E20</f>
        <v>13740584</v>
      </c>
      <c r="F34" s="151">
        <f>SUM(B34:E34)</f>
        <v>-123969016</v>
      </c>
      <c r="G34" s="151">
        <f>G18+G20</f>
        <v>-145375645</v>
      </c>
      <c r="H34" s="601">
        <f>G34-B34</f>
        <v>-5742187</v>
      </c>
      <c r="I34" s="728">
        <f>H34/B34</f>
        <v>4.1123288660515733E-2</v>
      </c>
      <c r="J34" s="601">
        <f>G34-F34</f>
        <v>-21406629</v>
      </c>
      <c r="K34" s="728">
        <f>J34/F34</f>
        <v>0.17267725187074165</v>
      </c>
    </row>
    <row r="35" spans="1:12">
      <c r="B35" s="21"/>
      <c r="C35" s="10"/>
      <c r="D35" s="10"/>
      <c r="E35" s="10"/>
      <c r="G35" s="599"/>
      <c r="H35" s="599"/>
      <c r="I35" s="728"/>
      <c r="J35" s="599"/>
      <c r="K35" s="728"/>
    </row>
    <row r="36" spans="1:12">
      <c r="A36" s="672" t="s">
        <v>1152</v>
      </c>
      <c r="B36" s="154">
        <f>B38-B39</f>
        <v>72961442</v>
      </c>
      <c r="C36" s="154">
        <f>C38-C39</f>
        <v>0</v>
      </c>
      <c r="D36" s="154">
        <f>D38-D39</f>
        <v>0</v>
      </c>
      <c r="E36" s="154">
        <f>E38-E39</f>
        <v>0</v>
      </c>
      <c r="F36" s="154">
        <f>SUM(B36:E36)</f>
        <v>72961442</v>
      </c>
      <c r="G36" s="600">
        <v>68769069</v>
      </c>
      <c r="H36" s="600">
        <f>G36-B36</f>
        <v>-4192373</v>
      </c>
      <c r="I36" s="727">
        <f>H36/B36</f>
        <v>-5.746011708485696E-2</v>
      </c>
      <c r="J36" s="600">
        <f>G36-F36</f>
        <v>-4192373</v>
      </c>
      <c r="K36" s="727">
        <f>J36/F36</f>
        <v>-5.746011708485696E-2</v>
      </c>
    </row>
    <row r="37" spans="1:12">
      <c r="B37" s="21"/>
      <c r="C37" s="10"/>
      <c r="D37" s="10"/>
      <c r="E37" s="10"/>
      <c r="G37" s="599"/>
      <c r="H37" s="599"/>
      <c r="I37" s="728"/>
      <c r="J37" s="599"/>
      <c r="K37" s="728"/>
    </row>
    <row r="38" spans="1:12">
      <c r="A38" s="105" t="s">
        <v>1153</v>
      </c>
      <c r="B38" s="151">
        <v>90304200</v>
      </c>
      <c r="C38" s="15"/>
      <c r="D38" s="15"/>
      <c r="E38" s="15">
        <v>0</v>
      </c>
      <c r="F38" s="15">
        <f t="shared" ref="F38:F39" si="10">SUM(B38:E38)</f>
        <v>90304200</v>
      </c>
      <c r="G38" s="601">
        <v>90241034</v>
      </c>
      <c r="H38" s="601">
        <f>G38-B38</f>
        <v>-63166</v>
      </c>
      <c r="I38" s="728">
        <f>H38/B38</f>
        <v>-6.9948020136383472E-4</v>
      </c>
      <c r="J38" s="601">
        <f>G38-F38</f>
        <v>-63166</v>
      </c>
      <c r="K38" s="728">
        <f>J38/F38</f>
        <v>-6.9948020136383472E-4</v>
      </c>
    </row>
    <row r="39" spans="1:12">
      <c r="A39" s="105" t="s">
        <v>1154</v>
      </c>
      <c r="B39" s="151">
        <v>17342758</v>
      </c>
      <c r="C39" s="15"/>
      <c r="D39" s="15"/>
      <c r="E39" s="15">
        <v>0</v>
      </c>
      <c r="F39" s="15">
        <f t="shared" si="10"/>
        <v>17342758</v>
      </c>
      <c r="G39" s="601">
        <v>21471965</v>
      </c>
      <c r="H39" s="601">
        <f>G39-B39</f>
        <v>4129207</v>
      </c>
      <c r="I39" s="728">
        <f>H39/B39</f>
        <v>0.23809402172364971</v>
      </c>
      <c r="J39" s="601">
        <f>G39-F39</f>
        <v>4129207</v>
      </c>
      <c r="K39" s="728">
        <f>J39/F39</f>
        <v>0.23809402172364971</v>
      </c>
    </row>
    <row r="40" spans="1:12">
      <c r="B40" s="21"/>
      <c r="C40" s="10"/>
      <c r="D40" s="10"/>
      <c r="E40" s="10"/>
      <c r="G40" s="599"/>
      <c r="H40" s="599"/>
      <c r="I40" s="728"/>
      <c r="J40" s="599"/>
      <c r="K40" s="728"/>
    </row>
    <row r="41" spans="1:12">
      <c r="A41" s="672" t="s">
        <v>1155</v>
      </c>
      <c r="B41" s="154">
        <f t="shared" ref="B41:G41" si="11">B34+B36+B42</f>
        <v>-66760384</v>
      </c>
      <c r="C41" s="154">
        <f t="shared" si="11"/>
        <v>-4500000</v>
      </c>
      <c r="D41" s="154">
        <f t="shared" si="11"/>
        <v>6423858</v>
      </c>
      <c r="E41" s="154">
        <f t="shared" si="11"/>
        <v>13740584</v>
      </c>
      <c r="F41" s="154">
        <f t="shared" si="11"/>
        <v>-51095942</v>
      </c>
      <c r="G41" s="154">
        <f t="shared" si="11"/>
        <v>-76583571</v>
      </c>
      <c r="H41" s="600">
        <f>G41-B41</f>
        <v>-9823187</v>
      </c>
      <c r="I41" s="727">
        <f>H41/B41</f>
        <v>0.14714096012389624</v>
      </c>
      <c r="J41" s="600">
        <f>G41-F41</f>
        <v>-25487629</v>
      </c>
      <c r="K41" s="727">
        <f>J41/F41</f>
        <v>0.49881904516018122</v>
      </c>
    </row>
    <row r="42" spans="1:12">
      <c r="A42" s="672" t="s">
        <v>1156</v>
      </c>
      <c r="B42" s="13">
        <v>-88368</v>
      </c>
      <c r="C42" s="13"/>
      <c r="D42" s="13"/>
      <c r="E42" s="13">
        <v>0</v>
      </c>
      <c r="F42" s="13">
        <f t="shared" ref="F42" si="12">SUM(B42:E42)</f>
        <v>-88368</v>
      </c>
      <c r="G42" s="579">
        <v>23005</v>
      </c>
      <c r="H42" s="579">
        <f>G42-B42</f>
        <v>111373</v>
      </c>
      <c r="I42" s="729">
        <f>H42/B42</f>
        <v>-1.2603317943146841</v>
      </c>
      <c r="J42" s="579">
        <f>G42-F42</f>
        <v>111373</v>
      </c>
      <c r="K42" s="729">
        <f>J42/F42</f>
        <v>-1.2603317943146841</v>
      </c>
    </row>
    <row r="43" spans="1:12">
      <c r="A43" s="672"/>
      <c r="B43" s="13"/>
      <c r="C43" s="13"/>
      <c r="D43" s="13"/>
      <c r="E43" s="13"/>
      <c r="F43" s="13"/>
      <c r="G43" s="13"/>
      <c r="H43" s="13"/>
      <c r="I43" s="730"/>
      <c r="J43" s="13"/>
      <c r="K43" s="13"/>
    </row>
    <row r="44" spans="1:12" ht="14.4">
      <c r="A44" s="675"/>
      <c r="B44" s="668"/>
      <c r="C44" s="668"/>
      <c r="D44" s="668"/>
      <c r="E44" s="668"/>
      <c r="F44" s="668"/>
      <c r="G44" s="669"/>
      <c r="H44" s="669"/>
      <c r="I44" s="731"/>
      <c r="J44" s="669"/>
      <c r="K44" s="669"/>
    </row>
    <row r="45" spans="1:12" s="668" customFormat="1" ht="14.4">
      <c r="G45" s="669"/>
      <c r="H45" s="669"/>
      <c r="I45" s="731"/>
      <c r="J45" s="669"/>
      <c r="K45" s="669"/>
      <c r="L45" s="105"/>
    </row>
    <row r="46" spans="1:12" s="668" customFormat="1" ht="14.4">
      <c r="G46" s="669"/>
      <c r="H46" s="669"/>
      <c r="I46" s="731"/>
      <c r="J46" s="669"/>
      <c r="K46" s="669"/>
      <c r="L46" s="105"/>
    </row>
    <row r="47" spans="1:12" s="668" customFormat="1" ht="14.4">
      <c r="A47" s="676"/>
      <c r="G47" s="669"/>
      <c r="H47" s="669"/>
      <c r="I47" s="731"/>
      <c r="J47" s="669"/>
      <c r="K47" s="669"/>
    </row>
    <row r="48" spans="1:12" s="668" customFormat="1" ht="14.4">
      <c r="A48" s="677"/>
      <c r="G48" s="669"/>
      <c r="H48" s="669"/>
      <c r="I48" s="726"/>
      <c r="J48" s="669"/>
      <c r="K48" s="669"/>
    </row>
    <row r="49" spans="1:12" s="668" customFormat="1" ht="14.4">
      <c r="A49" s="677"/>
      <c r="G49" s="669"/>
      <c r="H49" s="669"/>
      <c r="I49" s="726"/>
      <c r="J49" s="669"/>
      <c r="K49" s="669"/>
    </row>
    <row r="50" spans="1:12" s="668" customFormat="1" ht="14.4">
      <c r="G50" s="669"/>
      <c r="H50" s="669"/>
      <c r="I50" s="726"/>
      <c r="J50" s="669"/>
      <c r="K50" s="669"/>
    </row>
    <row r="51" spans="1:12" s="668" customFormat="1" ht="14.4">
      <c r="G51" s="669"/>
      <c r="H51" s="669"/>
      <c r="I51" s="726"/>
      <c r="J51" s="669"/>
      <c r="K51" s="669"/>
    </row>
    <row r="52" spans="1:12" s="668" customFormat="1" ht="14.4">
      <c r="G52" s="669"/>
      <c r="H52" s="669"/>
      <c r="I52" s="726"/>
      <c r="J52" s="669"/>
      <c r="K52" s="669"/>
    </row>
    <row r="53" spans="1:12" s="668" customFormat="1" ht="14.4">
      <c r="A53" s="677"/>
      <c r="G53" s="669"/>
      <c r="H53" s="669"/>
      <c r="I53" s="726"/>
      <c r="J53" s="669"/>
      <c r="K53" s="669"/>
    </row>
    <row r="54" spans="1:12" s="668" customFormat="1" ht="14.4">
      <c r="G54" s="669"/>
      <c r="H54" s="669"/>
      <c r="I54" s="726"/>
      <c r="J54" s="669"/>
      <c r="K54" s="669"/>
    </row>
    <row r="55" spans="1:12" s="668" customFormat="1" ht="14.4">
      <c r="A55" s="105"/>
      <c r="B55" s="105"/>
      <c r="C55" s="105"/>
      <c r="D55" s="105"/>
      <c r="E55" s="105"/>
      <c r="F55" s="105"/>
      <c r="G55" s="105"/>
      <c r="H55" s="105"/>
      <c r="I55" s="732"/>
      <c r="J55" s="105"/>
      <c r="K55" s="105"/>
    </row>
    <row r="56" spans="1:12" ht="14.4">
      <c r="I56" s="732"/>
      <c r="L56" s="668"/>
    </row>
    <row r="57" spans="1:12" ht="14.4">
      <c r="I57" s="732"/>
      <c r="L57" s="668"/>
    </row>
    <row r="58" spans="1:12">
      <c r="I58" s="732"/>
    </row>
    <row r="59" spans="1:12">
      <c r="I59" s="732"/>
    </row>
  </sheetData>
  <mergeCells count="3">
    <mergeCell ref="H3:I3"/>
    <mergeCell ref="J3:K3"/>
    <mergeCell ref="B3:F3"/>
  </mergeCells>
  <printOptions gridLines="1"/>
  <pageMargins left="0.70866141732283472" right="0.70866141732283472" top="0.74803149606299213" bottom="0.74803149606299213"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9C064-E752-499A-9EE3-8E912BD7FC6E}">
  <dimension ref="A1:E18"/>
  <sheetViews>
    <sheetView workbookViewId="0">
      <selection activeCell="A45" sqref="A45"/>
    </sheetView>
  </sheetViews>
  <sheetFormatPr defaultRowHeight="13.2"/>
  <cols>
    <col min="1" max="1" width="38.88671875" bestFit="1" customWidth="1"/>
    <col min="2" max="2" width="12.88671875" bestFit="1" customWidth="1"/>
    <col min="3" max="3" width="12.109375" bestFit="1" customWidth="1"/>
    <col min="4" max="4" width="10.88671875" bestFit="1" customWidth="1"/>
  </cols>
  <sheetData>
    <row r="1" spans="1:5">
      <c r="A1" s="14" t="s">
        <v>1238</v>
      </c>
    </row>
    <row r="2" spans="1:5" ht="14.4">
      <c r="A2" s="739" t="s">
        <v>44</v>
      </c>
      <c r="B2" s="740">
        <v>902090492</v>
      </c>
      <c r="C2" s="741">
        <f>B2/B2</f>
        <v>1</v>
      </c>
    </row>
    <row r="3" spans="1:5" ht="14.4">
      <c r="A3" s="742" t="s">
        <v>45</v>
      </c>
      <c r="B3" s="743">
        <v>95024089</v>
      </c>
      <c r="C3" s="741">
        <f>B3/B2</f>
        <v>0.10533764610391215</v>
      </c>
    </row>
    <row r="4" spans="1:5" ht="14.4">
      <c r="A4" s="744" t="s">
        <v>33</v>
      </c>
      <c r="B4" s="743">
        <v>2243284</v>
      </c>
      <c r="C4" s="741">
        <f>B4/B2</f>
        <v>2.4867616052869339E-3</v>
      </c>
    </row>
    <row r="5" spans="1:5" ht="14.4">
      <c r="A5" s="744" t="s">
        <v>0</v>
      </c>
      <c r="B5" s="743">
        <v>165055721</v>
      </c>
      <c r="C5" s="741">
        <f>B5/B2</f>
        <v>0.18297024795601105</v>
      </c>
    </row>
    <row r="6" spans="1:5" ht="14.4">
      <c r="A6" s="744" t="s">
        <v>896</v>
      </c>
      <c r="B6" s="743">
        <v>49800</v>
      </c>
      <c r="C6" s="741">
        <f>B6/B2</f>
        <v>5.5205104633782125E-5</v>
      </c>
    </row>
    <row r="7" spans="1:5" ht="14.4">
      <c r="A7" s="744" t="s">
        <v>46</v>
      </c>
      <c r="B7" s="743">
        <v>639717598</v>
      </c>
      <c r="C7" s="741">
        <f>B7/B2</f>
        <v>0.70915013923015613</v>
      </c>
    </row>
    <row r="9" spans="1:5">
      <c r="A9" s="14" t="s">
        <v>1239</v>
      </c>
    </row>
    <row r="11" spans="1:5" ht="13.8">
      <c r="A11" s="745" t="s">
        <v>1215</v>
      </c>
      <c r="B11" s="746" t="s">
        <v>1247</v>
      </c>
      <c r="C11" s="747">
        <v>2023</v>
      </c>
      <c r="D11" s="748"/>
    </row>
    <row r="12" spans="1:5" ht="13.8">
      <c r="A12" s="749" t="s">
        <v>1218</v>
      </c>
      <c r="B12" s="749" t="s">
        <v>1240</v>
      </c>
      <c r="C12" s="750">
        <v>217644949</v>
      </c>
      <c r="D12" s="748"/>
    </row>
    <row r="13" spans="1:5" ht="13.8">
      <c r="A13" s="749" t="s">
        <v>1241</v>
      </c>
      <c r="B13" s="749" t="s">
        <v>1240</v>
      </c>
      <c r="C13" s="750">
        <v>217644949</v>
      </c>
      <c r="D13" s="748"/>
    </row>
    <row r="14" spans="1:5" ht="14.4">
      <c r="A14" s="751" t="s">
        <v>1242</v>
      </c>
      <c r="B14" s="752" t="s">
        <v>1243</v>
      </c>
      <c r="C14" s="753">
        <v>190341218</v>
      </c>
      <c r="D14" s="754">
        <f>C14-D18</f>
        <v>100341218</v>
      </c>
      <c r="E14" s="741">
        <f>D14/C13</f>
        <v>0.46103168697932889</v>
      </c>
    </row>
    <row r="15" spans="1:5" ht="14.4">
      <c r="A15" s="751"/>
      <c r="B15" s="752" t="s">
        <v>1244</v>
      </c>
      <c r="C15" s="753">
        <v>6607536</v>
      </c>
      <c r="D15" s="754">
        <f>C15</f>
        <v>6607536</v>
      </c>
      <c r="E15" s="741">
        <f>D15/C13</f>
        <v>3.0359243485131374E-2</v>
      </c>
    </row>
    <row r="16" spans="1:5" ht="14.4">
      <c r="A16" s="751"/>
      <c r="B16" s="752" t="s">
        <v>1245</v>
      </c>
      <c r="C16" s="753">
        <v>858908</v>
      </c>
      <c r="D16" s="754">
        <f>C16</f>
        <v>858908</v>
      </c>
      <c r="E16" s="741">
        <f>D16/C13</f>
        <v>3.9463723093339509E-3</v>
      </c>
    </row>
    <row r="17" spans="1:5" ht="14.4">
      <c r="A17" s="752"/>
      <c r="B17" s="752" t="s">
        <v>1246</v>
      </c>
      <c r="C17" s="753">
        <v>19837287</v>
      </c>
      <c r="D17" s="754">
        <f>C17</f>
        <v>19837287</v>
      </c>
      <c r="E17" s="741">
        <f>D17/C13</f>
        <v>9.1145175163242595E-2</v>
      </c>
    </row>
    <row r="18" spans="1:5" ht="14.4">
      <c r="A18" s="748"/>
      <c r="B18" s="755" t="s">
        <v>1248</v>
      </c>
      <c r="C18" s="748"/>
      <c r="D18" s="754">
        <v>90000000</v>
      </c>
      <c r="E18" s="741">
        <f>D18/C13</f>
        <v>0.41351752206296322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8134-E011-4737-8865-4866FC1FAFA7}">
  <sheetPr>
    <tabColor theme="9" tint="0.79998168889431442"/>
  </sheetPr>
  <dimension ref="A1:L107"/>
  <sheetViews>
    <sheetView tabSelected="1" topLeftCell="A3" zoomScaleNormal="100" workbookViewId="0">
      <pane xSplit="1" ySplit="3" topLeftCell="B6" activePane="bottomRight" state="frozen"/>
      <selection activeCell="N23" sqref="N23"/>
      <selection pane="topRight" activeCell="N23" sqref="N23"/>
      <selection pane="bottomLeft" activeCell="N23" sqref="N23"/>
      <selection pane="bottomRight" activeCell="A3" sqref="A3"/>
    </sheetView>
  </sheetViews>
  <sheetFormatPr defaultColWidth="9.44140625" defaultRowHeight="13.2"/>
  <cols>
    <col min="1" max="1" width="58.77734375" style="557" customWidth="1"/>
    <col min="2" max="2" width="12.5546875" style="557" customWidth="1"/>
    <col min="3" max="3" width="10.44140625" style="557" hidden="1" customWidth="1"/>
    <col min="4" max="4" width="11.44140625" style="557" hidden="1" customWidth="1"/>
    <col min="5" max="5" width="12.5546875" style="557" hidden="1" customWidth="1"/>
    <col min="6" max="6" width="12.5546875" style="557" customWidth="1"/>
    <col min="7" max="7" width="12.77734375" style="557" bestFit="1" customWidth="1"/>
    <col min="8" max="8" width="12.5546875" style="557" customWidth="1"/>
    <col min="9" max="9" width="12.5546875" style="308" customWidth="1"/>
    <col min="10" max="10" width="12.5546875" style="557" customWidth="1"/>
    <col min="11" max="11" width="12.5546875" style="308" customWidth="1"/>
    <col min="12" max="16384" width="9.44140625" style="557"/>
  </cols>
  <sheetData>
    <row r="1" spans="1:11">
      <c r="F1" s="618"/>
      <c r="H1" s="618"/>
      <c r="I1" s="239"/>
      <c r="J1" s="618"/>
      <c r="K1" s="239"/>
    </row>
    <row r="2" spans="1:11">
      <c r="F2" s="618"/>
      <c r="H2" s="618"/>
      <c r="I2" s="239"/>
      <c r="J2" s="618"/>
      <c r="K2" s="239"/>
    </row>
    <row r="3" spans="1:11" ht="12.75" customHeight="1">
      <c r="A3" s="568" t="s">
        <v>1083</v>
      </c>
      <c r="B3" s="567"/>
    </row>
    <row r="4" spans="1:11" ht="27.75" customHeight="1">
      <c r="B4" s="760">
        <v>2022</v>
      </c>
      <c r="C4" s="761"/>
      <c r="D4" s="761"/>
      <c r="E4" s="761"/>
      <c r="F4" s="762"/>
      <c r="G4" s="638">
        <v>2023</v>
      </c>
      <c r="H4" s="758" t="s">
        <v>1212</v>
      </c>
      <c r="I4" s="759"/>
      <c r="J4" s="756" t="s">
        <v>1213</v>
      </c>
      <c r="K4" s="757"/>
    </row>
    <row r="5" spans="1:11" ht="26.4">
      <c r="A5" s="568"/>
      <c r="B5" s="644" t="s">
        <v>667</v>
      </c>
      <c r="C5" s="644" t="s">
        <v>827</v>
      </c>
      <c r="D5" s="644" t="s">
        <v>828</v>
      </c>
      <c r="E5" s="644" t="s">
        <v>1187</v>
      </c>
      <c r="F5" s="644" t="s">
        <v>668</v>
      </c>
      <c r="G5" s="639" t="s">
        <v>1211</v>
      </c>
      <c r="H5" s="640" t="s">
        <v>14</v>
      </c>
      <c r="I5" s="641" t="s">
        <v>743</v>
      </c>
      <c r="J5" s="642" t="s">
        <v>14</v>
      </c>
      <c r="K5" s="643" t="s">
        <v>743</v>
      </c>
    </row>
    <row r="6" spans="1:11">
      <c r="A6" s="535" t="s">
        <v>1084</v>
      </c>
      <c r="G6" s="620"/>
    </row>
    <row r="7" spans="1:11">
      <c r="G7" s="620"/>
    </row>
    <row r="8" spans="1:11">
      <c r="A8" s="569" t="s">
        <v>1085</v>
      </c>
      <c r="B8" s="570">
        <f>SUM(B9:B24)</f>
        <v>868520541</v>
      </c>
      <c r="C8" s="570">
        <f>SUM(C9:C24)</f>
        <v>5343000</v>
      </c>
      <c r="D8" s="570">
        <f t="shared" ref="D8" si="0">SUM(D9:D24)</f>
        <v>30041994</v>
      </c>
      <c r="E8" s="570">
        <f>SUM(E9:E24)</f>
        <v>21759776</v>
      </c>
      <c r="F8" s="570">
        <f>B8+C8+D8+E8</f>
        <v>925665311</v>
      </c>
      <c r="G8" s="621">
        <f>SUM(G9:G24)</f>
        <v>966781688</v>
      </c>
      <c r="H8" s="570">
        <f t="shared" ref="H8:H16" si="1">G8-B8</f>
        <v>98261147</v>
      </c>
      <c r="I8" s="629">
        <f t="shared" ref="I8:I24" si="2">H8/B8</f>
        <v>0.11313623842087116</v>
      </c>
      <c r="J8" s="570">
        <f t="shared" ref="J8:J17" si="3">G8-F8</f>
        <v>41116377</v>
      </c>
      <c r="K8" s="629">
        <f t="shared" ref="K8:K24" si="4">J8/F8</f>
        <v>4.4418189286559537E-2</v>
      </c>
    </row>
    <row r="9" spans="1:11">
      <c r="A9" s="571" t="s">
        <v>15</v>
      </c>
      <c r="B9" s="572">
        <v>581400000</v>
      </c>
      <c r="C9" s="572">
        <v>5343000</v>
      </c>
      <c r="D9" s="572">
        <v>13500000</v>
      </c>
      <c r="E9" s="572">
        <v>11000000</v>
      </c>
      <c r="F9" s="572">
        <f t="shared" ref="F9:F72" si="5">B9+C9+D9+E9</f>
        <v>611243000</v>
      </c>
      <c r="G9" s="622">
        <v>650100000</v>
      </c>
      <c r="H9" s="572">
        <f t="shared" si="1"/>
        <v>68700000</v>
      </c>
      <c r="I9" s="630">
        <f t="shared" si="2"/>
        <v>0.11816305469556243</v>
      </c>
      <c r="J9" s="572">
        <f t="shared" si="3"/>
        <v>38857000</v>
      </c>
      <c r="K9" s="630">
        <f t="shared" si="4"/>
        <v>6.3570462156621835E-2</v>
      </c>
    </row>
    <row r="10" spans="1:11">
      <c r="A10" s="571" t="s">
        <v>16</v>
      </c>
      <c r="B10" s="572">
        <v>11970000</v>
      </c>
      <c r="C10" s="572"/>
      <c r="D10" s="572">
        <v>1100000</v>
      </c>
      <c r="E10" s="572">
        <v>1000000</v>
      </c>
      <c r="F10" s="572">
        <f t="shared" si="5"/>
        <v>14070000</v>
      </c>
      <c r="G10" s="622">
        <v>14170000</v>
      </c>
      <c r="H10" s="572">
        <f t="shared" si="1"/>
        <v>2200000</v>
      </c>
      <c r="I10" s="630">
        <f t="shared" si="2"/>
        <v>0.18379281537176273</v>
      </c>
      <c r="J10" s="572">
        <f t="shared" si="3"/>
        <v>100000</v>
      </c>
      <c r="K10" s="630">
        <f t="shared" si="4"/>
        <v>7.1073205401563609E-3</v>
      </c>
    </row>
    <row r="11" spans="1:11">
      <c r="A11" s="571" t="s">
        <v>17</v>
      </c>
      <c r="B11" s="572">
        <v>493024</v>
      </c>
      <c r="C11" s="572"/>
      <c r="D11" s="572"/>
      <c r="E11" s="572">
        <v>50000</v>
      </c>
      <c r="F11" s="572">
        <f t="shared" si="5"/>
        <v>543024</v>
      </c>
      <c r="G11" s="622">
        <v>513024</v>
      </c>
      <c r="H11" s="572">
        <f t="shared" si="1"/>
        <v>20000</v>
      </c>
      <c r="I11" s="630">
        <f t="shared" si="2"/>
        <v>4.0565976504186411E-2</v>
      </c>
      <c r="J11" s="572">
        <f t="shared" si="3"/>
        <v>-30000</v>
      </c>
      <c r="K11" s="630">
        <f t="shared" si="4"/>
        <v>-5.5246176964554056E-2</v>
      </c>
    </row>
    <row r="12" spans="1:11">
      <c r="A12" s="571" t="s">
        <v>1068</v>
      </c>
      <c r="B12" s="572">
        <v>90137039</v>
      </c>
      <c r="C12" s="572"/>
      <c r="D12" s="572">
        <v>4830204</v>
      </c>
      <c r="E12" s="572">
        <v>4949964</v>
      </c>
      <c r="F12" s="572">
        <f t="shared" si="5"/>
        <v>99917207</v>
      </c>
      <c r="G12" s="622">
        <v>96738036</v>
      </c>
      <c r="H12" s="572">
        <f t="shared" si="1"/>
        <v>6600997</v>
      </c>
      <c r="I12" s="630">
        <f t="shared" si="2"/>
        <v>7.3232902625079574E-2</v>
      </c>
      <c r="J12" s="572">
        <f t="shared" si="3"/>
        <v>-3179171</v>
      </c>
      <c r="K12" s="630">
        <f t="shared" si="4"/>
        <v>-3.1818053120720238E-2</v>
      </c>
    </row>
    <row r="13" spans="1:11">
      <c r="A13" s="571" t="s">
        <v>18</v>
      </c>
      <c r="B13" s="572">
        <v>846000</v>
      </c>
      <c r="C13" s="572"/>
      <c r="D13" s="572">
        <v>438349</v>
      </c>
      <c r="E13" s="572">
        <v>150005</v>
      </c>
      <c r="F13" s="572">
        <f t="shared" si="5"/>
        <v>1434354</v>
      </c>
      <c r="G13" s="622">
        <v>910000</v>
      </c>
      <c r="H13" s="572">
        <f t="shared" si="1"/>
        <v>64000</v>
      </c>
      <c r="I13" s="630">
        <f t="shared" si="2"/>
        <v>7.5650118203309691E-2</v>
      </c>
      <c r="J13" s="572">
        <f t="shared" si="3"/>
        <v>-524354</v>
      </c>
      <c r="K13" s="630">
        <f t="shared" si="4"/>
        <v>-0.36556805363250633</v>
      </c>
    </row>
    <row r="14" spans="1:11">
      <c r="A14" s="571" t="s">
        <v>19</v>
      </c>
      <c r="B14" s="572">
        <v>297000</v>
      </c>
      <c r="C14" s="572"/>
      <c r="D14" s="572"/>
      <c r="E14" s="572"/>
      <c r="F14" s="572">
        <f t="shared" si="5"/>
        <v>297000</v>
      </c>
      <c r="G14" s="622">
        <v>2750000</v>
      </c>
      <c r="H14" s="572">
        <f t="shared" si="1"/>
        <v>2453000</v>
      </c>
      <c r="I14" s="630">
        <f t="shared" si="2"/>
        <v>8.2592592592592595</v>
      </c>
      <c r="J14" s="572">
        <f t="shared" si="3"/>
        <v>2453000</v>
      </c>
      <c r="K14" s="630">
        <f t="shared" si="4"/>
        <v>8.2592592592592595</v>
      </c>
    </row>
    <row r="15" spans="1:11">
      <c r="A15" s="571" t="s">
        <v>1086</v>
      </c>
      <c r="B15" s="572">
        <v>650000</v>
      </c>
      <c r="C15" s="572"/>
      <c r="D15" s="572">
        <v>355116</v>
      </c>
      <c r="E15" s="572">
        <v>618884</v>
      </c>
      <c r="F15" s="572">
        <f t="shared" si="5"/>
        <v>1624000</v>
      </c>
      <c r="G15" s="622">
        <v>700000</v>
      </c>
      <c r="H15" s="572">
        <f t="shared" si="1"/>
        <v>50000</v>
      </c>
      <c r="I15" s="630">
        <f t="shared" si="2"/>
        <v>7.6923076923076927E-2</v>
      </c>
      <c r="J15" s="572">
        <f t="shared" si="3"/>
        <v>-924000</v>
      </c>
      <c r="K15" s="630">
        <f t="shared" si="4"/>
        <v>-0.56896551724137934</v>
      </c>
    </row>
    <row r="16" spans="1:11">
      <c r="A16" s="571" t="s">
        <v>1087</v>
      </c>
      <c r="B16" s="572">
        <v>57600</v>
      </c>
      <c r="C16" s="572"/>
      <c r="D16" s="572">
        <v>6000</v>
      </c>
      <c r="E16" s="572">
        <v>8816</v>
      </c>
      <c r="F16" s="572">
        <f t="shared" si="5"/>
        <v>72416</v>
      </c>
      <c r="G16" s="622">
        <v>70000</v>
      </c>
      <c r="H16" s="572">
        <f t="shared" si="1"/>
        <v>12400</v>
      </c>
      <c r="I16" s="630">
        <f t="shared" si="2"/>
        <v>0.21527777777777779</v>
      </c>
      <c r="J16" s="572">
        <f t="shared" si="3"/>
        <v>-2416</v>
      </c>
      <c r="K16" s="630">
        <f t="shared" si="4"/>
        <v>-3.3362792752982769E-2</v>
      </c>
    </row>
    <row r="17" spans="1:11">
      <c r="A17" s="571" t="s">
        <v>1088</v>
      </c>
      <c r="B17" s="572">
        <v>-220000</v>
      </c>
      <c r="C17" s="572"/>
      <c r="D17" s="572"/>
      <c r="E17" s="572">
        <v>-200000</v>
      </c>
      <c r="F17" s="572">
        <f t="shared" si="5"/>
        <v>-420000</v>
      </c>
      <c r="G17" s="622">
        <v>-220000</v>
      </c>
      <c r="H17" s="572"/>
      <c r="I17" s="630">
        <f t="shared" si="2"/>
        <v>0</v>
      </c>
      <c r="J17" s="572">
        <f t="shared" si="3"/>
        <v>200000</v>
      </c>
      <c r="K17" s="630">
        <f t="shared" si="4"/>
        <v>-0.47619047619047616</v>
      </c>
    </row>
    <row r="18" spans="1:11">
      <c r="A18" s="571" t="s">
        <v>20</v>
      </c>
      <c r="B18" s="572">
        <v>-10000</v>
      </c>
      <c r="C18" s="572"/>
      <c r="D18" s="572"/>
      <c r="E18" s="572"/>
      <c r="F18" s="572">
        <f t="shared" si="5"/>
        <v>-10000</v>
      </c>
      <c r="G18" s="622">
        <v>-10000</v>
      </c>
      <c r="H18" s="572"/>
      <c r="I18" s="630">
        <f t="shared" si="2"/>
        <v>0</v>
      </c>
      <c r="J18" s="572"/>
      <c r="K18" s="630">
        <f t="shared" si="4"/>
        <v>0</v>
      </c>
    </row>
    <row r="19" spans="1:11">
      <c r="A19" s="571" t="s">
        <v>21</v>
      </c>
      <c r="B19" s="572">
        <v>467000</v>
      </c>
      <c r="C19" s="572"/>
      <c r="D19" s="572">
        <v>605</v>
      </c>
      <c r="E19" s="572">
        <v>2728</v>
      </c>
      <c r="F19" s="572">
        <f t="shared" si="5"/>
        <v>470333</v>
      </c>
      <c r="G19" s="622">
        <v>467000</v>
      </c>
      <c r="H19" s="572"/>
      <c r="I19" s="630">
        <f t="shared" si="2"/>
        <v>0</v>
      </c>
      <c r="J19" s="572">
        <f t="shared" ref="J19:J24" si="6">G19-F19</f>
        <v>-3333</v>
      </c>
      <c r="K19" s="630">
        <f t="shared" si="4"/>
        <v>-7.08646852336536E-3</v>
      </c>
    </row>
    <row r="20" spans="1:11">
      <c r="A20" s="571" t="s">
        <v>22</v>
      </c>
      <c r="B20" s="572">
        <v>8600000</v>
      </c>
      <c r="C20" s="572"/>
      <c r="D20" s="572">
        <v>1357463</v>
      </c>
      <c r="E20" s="572"/>
      <c r="F20" s="572">
        <f t="shared" si="5"/>
        <v>9957463</v>
      </c>
      <c r="G20" s="622">
        <v>6800000</v>
      </c>
      <c r="H20" s="572">
        <f>G20-B20</f>
        <v>-1800000</v>
      </c>
      <c r="I20" s="630">
        <f t="shared" si="2"/>
        <v>-0.20930232558139536</v>
      </c>
      <c r="J20" s="572">
        <f t="shared" si="6"/>
        <v>-3157463</v>
      </c>
      <c r="K20" s="630">
        <f t="shared" si="4"/>
        <v>-0.31709512754403407</v>
      </c>
    </row>
    <row r="21" spans="1:11">
      <c r="A21" s="573" t="s">
        <v>23</v>
      </c>
      <c r="B21" s="572">
        <v>149860731</v>
      </c>
      <c r="C21" s="572"/>
      <c r="D21" s="572">
        <v>8814815</v>
      </c>
      <c r="E21" s="572">
        <v>4109530</v>
      </c>
      <c r="F21" s="572">
        <f t="shared" si="5"/>
        <v>162785076</v>
      </c>
      <c r="G21" s="622">
        <v>171663257</v>
      </c>
      <c r="H21" s="572">
        <f>G21-B21</f>
        <v>21802526</v>
      </c>
      <c r="I21" s="630">
        <f t="shared" si="2"/>
        <v>0.14548525056907669</v>
      </c>
      <c r="J21" s="572">
        <f t="shared" si="6"/>
        <v>8878181</v>
      </c>
      <c r="K21" s="630">
        <f t="shared" si="4"/>
        <v>5.4539280984210126E-2</v>
      </c>
    </row>
    <row r="22" spans="1:11">
      <c r="A22" s="571" t="s">
        <v>1089</v>
      </c>
      <c r="B22" s="572">
        <v>23913124</v>
      </c>
      <c r="C22" s="572"/>
      <c r="D22" s="572">
        <v>-360558</v>
      </c>
      <c r="E22" s="572">
        <v>39744</v>
      </c>
      <c r="F22" s="572">
        <f t="shared" si="5"/>
        <v>23592310</v>
      </c>
      <c r="G22" s="622">
        <v>22080571</v>
      </c>
      <c r="H22" s="572">
        <f>G22-B22</f>
        <v>-1832553</v>
      </c>
      <c r="I22" s="630">
        <f t="shared" si="2"/>
        <v>-7.6633776498628958E-2</v>
      </c>
      <c r="J22" s="572">
        <f t="shared" si="6"/>
        <v>-1511739</v>
      </c>
      <c r="K22" s="630">
        <f t="shared" si="4"/>
        <v>-6.4077616816666114E-2</v>
      </c>
    </row>
    <row r="23" spans="1:11">
      <c r="A23" s="571" t="s">
        <v>1090</v>
      </c>
      <c r="B23" s="572">
        <v>9223</v>
      </c>
      <c r="C23" s="572"/>
      <c r="D23" s="572"/>
      <c r="E23" s="572"/>
      <c r="F23" s="572">
        <f t="shared" si="5"/>
        <v>9223</v>
      </c>
      <c r="G23" s="622"/>
      <c r="H23" s="572">
        <f>G23-B23</f>
        <v>-9223</v>
      </c>
      <c r="I23" s="630">
        <f t="shared" si="2"/>
        <v>-1</v>
      </c>
      <c r="J23" s="572">
        <f t="shared" si="6"/>
        <v>-9223</v>
      </c>
      <c r="K23" s="630">
        <f t="shared" si="4"/>
        <v>-1</v>
      </c>
    </row>
    <row r="24" spans="1:11">
      <c r="A24" s="571" t="s">
        <v>1091</v>
      </c>
      <c r="B24" s="572">
        <v>49800</v>
      </c>
      <c r="C24" s="572"/>
      <c r="D24" s="572"/>
      <c r="E24" s="572">
        <v>30105</v>
      </c>
      <c r="F24" s="572">
        <f t="shared" si="5"/>
        <v>79905</v>
      </c>
      <c r="G24" s="622">
        <v>49800</v>
      </c>
      <c r="H24" s="572"/>
      <c r="I24" s="630">
        <f t="shared" si="2"/>
        <v>0</v>
      </c>
      <c r="J24" s="572">
        <f t="shared" si="6"/>
        <v>-30105</v>
      </c>
      <c r="K24" s="630">
        <f t="shared" si="4"/>
        <v>-0.37675990238408108</v>
      </c>
    </row>
    <row r="25" spans="1:11" ht="14.25" customHeight="1">
      <c r="B25" s="548"/>
      <c r="C25" s="548"/>
      <c r="D25" s="548"/>
      <c r="E25" s="548"/>
      <c r="F25" s="548"/>
      <c r="G25" s="623"/>
      <c r="H25" s="548"/>
      <c r="I25" s="627"/>
      <c r="J25" s="548"/>
      <c r="K25" s="627"/>
    </row>
    <row r="26" spans="1:11" ht="12" customHeight="1">
      <c r="A26" s="569" t="s">
        <v>1092</v>
      </c>
      <c r="B26" s="570">
        <f t="shared" ref="B26:D26" si="7">B27+B33</f>
        <v>822415776</v>
      </c>
      <c r="C26" s="570">
        <f t="shared" si="7"/>
        <v>9843000</v>
      </c>
      <c r="D26" s="570">
        <f t="shared" si="7"/>
        <v>46459967</v>
      </c>
      <c r="E26" s="570">
        <f t="shared" ref="E26" si="8">E27+E33</f>
        <v>36061411</v>
      </c>
      <c r="F26" s="570">
        <f t="shared" si="5"/>
        <v>914780154</v>
      </c>
      <c r="G26" s="570">
        <f t="shared" ref="G26" si="9">G27+G33</f>
        <v>951655536</v>
      </c>
      <c r="H26" s="570">
        <f>G26-B26</f>
        <v>129239760</v>
      </c>
      <c r="I26" s="629">
        <f t="shared" ref="I26:I33" si="10">H26/B26</f>
        <v>0.15714649909634029</v>
      </c>
      <c r="J26" s="570">
        <f t="shared" ref="J26:J33" si="11">G26-F26</f>
        <v>36875382</v>
      </c>
      <c r="K26" s="629">
        <f t="shared" ref="K26:K33" si="12">J26/F26</f>
        <v>4.0310649327882114E-2</v>
      </c>
    </row>
    <row r="27" spans="1:11">
      <c r="A27" s="571" t="s">
        <v>1093</v>
      </c>
      <c r="B27" s="572">
        <f t="shared" ref="B27:D27" si="13">SUM(B28:B32)</f>
        <v>746450426</v>
      </c>
      <c r="C27" s="572">
        <f t="shared" si="13"/>
        <v>9843000</v>
      </c>
      <c r="D27" s="572">
        <f t="shared" si="13"/>
        <v>34598187</v>
      </c>
      <c r="E27" s="572">
        <f t="shared" ref="E27" si="14">SUM(E28:E32)</f>
        <v>38216810</v>
      </c>
      <c r="F27" s="572">
        <f t="shared" si="5"/>
        <v>829108423</v>
      </c>
      <c r="G27" s="572">
        <f t="shared" ref="G27" si="15">SUM(G28:G32)</f>
        <v>902090492</v>
      </c>
      <c r="H27" s="572">
        <f>G27-B27</f>
        <v>155640066</v>
      </c>
      <c r="I27" s="630">
        <f t="shared" si="10"/>
        <v>0.20850690223867593</v>
      </c>
      <c r="J27" s="572">
        <f t="shared" si="11"/>
        <v>72982069</v>
      </c>
      <c r="K27" s="630">
        <f t="shared" si="12"/>
        <v>8.8024758855935539E-2</v>
      </c>
    </row>
    <row r="28" spans="1:11">
      <c r="A28" s="574" t="s">
        <v>1094</v>
      </c>
      <c r="B28" s="572">
        <v>138017878</v>
      </c>
      <c r="C28" s="572"/>
      <c r="D28" s="572">
        <v>6459555</v>
      </c>
      <c r="E28" s="572">
        <v>4483848</v>
      </c>
      <c r="F28" s="572">
        <f t="shared" si="5"/>
        <v>148961281</v>
      </c>
      <c r="G28" s="622">
        <v>165055721</v>
      </c>
      <c r="H28" s="572">
        <f>G28-B28</f>
        <v>27037843</v>
      </c>
      <c r="I28" s="630">
        <f t="shared" si="10"/>
        <v>0.19590101943169999</v>
      </c>
      <c r="J28" s="572">
        <f t="shared" si="11"/>
        <v>16094440</v>
      </c>
      <c r="K28" s="630">
        <f t="shared" si="12"/>
        <v>0.10804445216874847</v>
      </c>
    </row>
    <row r="29" spans="1:11">
      <c r="A29" s="575" t="s">
        <v>1095</v>
      </c>
      <c r="B29" s="572">
        <v>4287923</v>
      </c>
      <c r="C29" s="572"/>
      <c r="D29" s="572">
        <v>956919</v>
      </c>
      <c r="E29" s="572">
        <v>724201</v>
      </c>
      <c r="F29" s="572">
        <f t="shared" si="5"/>
        <v>5969043</v>
      </c>
      <c r="G29" s="622">
        <v>2243284</v>
      </c>
      <c r="H29" s="572">
        <f>G29-B29</f>
        <v>-2044639</v>
      </c>
      <c r="I29" s="630">
        <f t="shared" si="10"/>
        <v>-0.47683668759910103</v>
      </c>
      <c r="J29" s="572">
        <f t="shared" si="11"/>
        <v>-3725759</v>
      </c>
      <c r="K29" s="630">
        <f t="shared" si="12"/>
        <v>-0.62418029154757304</v>
      </c>
    </row>
    <row r="30" spans="1:11">
      <c r="A30" s="575" t="s">
        <v>1096</v>
      </c>
      <c r="B30" s="572">
        <v>9223</v>
      </c>
      <c r="C30" s="572"/>
      <c r="D30" s="572"/>
      <c r="E30" s="572"/>
      <c r="F30" s="572">
        <f t="shared" si="5"/>
        <v>9223</v>
      </c>
      <c r="G30" s="622"/>
      <c r="H30" s="572">
        <f>G30-B30</f>
        <v>-9223</v>
      </c>
      <c r="I30" s="630">
        <f t="shared" si="10"/>
        <v>-1</v>
      </c>
      <c r="J30" s="572">
        <f t="shared" si="11"/>
        <v>-9223</v>
      </c>
      <c r="K30" s="630">
        <f t="shared" si="12"/>
        <v>-1</v>
      </c>
    </row>
    <row r="31" spans="1:11">
      <c r="A31" s="575" t="s">
        <v>1097</v>
      </c>
      <c r="B31" s="572">
        <v>49800</v>
      </c>
      <c r="C31" s="572"/>
      <c r="D31" s="572"/>
      <c r="E31" s="572">
        <v>30105</v>
      </c>
      <c r="F31" s="572">
        <f t="shared" si="5"/>
        <v>79905</v>
      </c>
      <c r="G31" s="622">
        <v>49800</v>
      </c>
      <c r="H31" s="572"/>
      <c r="I31" s="630">
        <f t="shared" si="10"/>
        <v>0</v>
      </c>
      <c r="J31" s="572">
        <f t="shared" si="11"/>
        <v>-30105</v>
      </c>
      <c r="K31" s="630">
        <f t="shared" si="12"/>
        <v>-0.37675990238408108</v>
      </c>
    </row>
    <row r="32" spans="1:11">
      <c r="A32" s="575" t="s">
        <v>1098</v>
      </c>
      <c r="B32" s="572">
        <v>604085602</v>
      </c>
      <c r="C32" s="572">
        <v>9843000</v>
      </c>
      <c r="D32" s="572">
        <v>27181713</v>
      </c>
      <c r="E32" s="572">
        <v>32978656</v>
      </c>
      <c r="F32" s="572">
        <f t="shared" si="5"/>
        <v>674088971</v>
      </c>
      <c r="G32" s="622">
        <v>734741687</v>
      </c>
      <c r="H32" s="572">
        <f>G32-B32</f>
        <v>130656085</v>
      </c>
      <c r="I32" s="630">
        <f t="shared" si="10"/>
        <v>0.21628736816011715</v>
      </c>
      <c r="J32" s="572">
        <f t="shared" si="11"/>
        <v>60652716</v>
      </c>
      <c r="K32" s="630">
        <f t="shared" si="12"/>
        <v>8.9977315472203445E-2</v>
      </c>
    </row>
    <row r="33" spans="1:12">
      <c r="A33" s="571" t="s">
        <v>1099</v>
      </c>
      <c r="B33" s="572">
        <v>75965350</v>
      </c>
      <c r="C33" s="572"/>
      <c r="D33" s="572">
        <v>11861780</v>
      </c>
      <c r="E33" s="572">
        <v>-2155399</v>
      </c>
      <c r="F33" s="572">
        <f t="shared" si="5"/>
        <v>85671731</v>
      </c>
      <c r="G33" s="645">
        <v>49565044</v>
      </c>
      <c r="H33" s="572">
        <f>G33-B33</f>
        <v>-26400306</v>
      </c>
      <c r="I33" s="630">
        <f t="shared" si="10"/>
        <v>-0.34753089401944437</v>
      </c>
      <c r="J33" s="572">
        <f t="shared" si="11"/>
        <v>-36106687</v>
      </c>
      <c r="K33" s="630">
        <f t="shared" si="12"/>
        <v>-0.42145392159754541</v>
      </c>
    </row>
    <row r="34" spans="1:12">
      <c r="A34" s="571"/>
      <c r="B34" s="548"/>
      <c r="C34" s="548"/>
      <c r="D34" s="548"/>
      <c r="E34" s="548"/>
      <c r="F34" s="548"/>
      <c r="G34" s="623"/>
      <c r="H34" s="548"/>
      <c r="I34" s="627"/>
      <c r="J34" s="548"/>
      <c r="K34" s="627"/>
    </row>
    <row r="35" spans="1:12">
      <c r="A35" s="576" t="s">
        <v>1100</v>
      </c>
      <c r="B35" s="577">
        <f>B8-B26</f>
        <v>46104765</v>
      </c>
      <c r="C35" s="577">
        <f t="shared" ref="C35:D35" si="16">C8-C26</f>
        <v>-4500000</v>
      </c>
      <c r="D35" s="577">
        <f t="shared" si="16"/>
        <v>-16417973</v>
      </c>
      <c r="E35" s="577">
        <f>E8-E26</f>
        <v>-14301635</v>
      </c>
      <c r="F35" s="577">
        <f t="shared" si="5"/>
        <v>10885157</v>
      </c>
      <c r="G35" s="577">
        <f>G8-G26</f>
        <v>15126152</v>
      </c>
      <c r="H35" s="577">
        <f>G35-B35</f>
        <v>-30978613</v>
      </c>
      <c r="I35" s="631">
        <f>H35/B35</f>
        <v>-0.67191781587000821</v>
      </c>
      <c r="J35" s="577">
        <f>G35-F35</f>
        <v>4240995</v>
      </c>
      <c r="K35" s="631">
        <f>J35/F35</f>
        <v>0.38961266245401882</v>
      </c>
    </row>
    <row r="36" spans="1:12">
      <c r="A36" s="578"/>
      <c r="B36" s="579"/>
      <c r="C36" s="579"/>
      <c r="D36" s="579"/>
      <c r="E36" s="579"/>
      <c r="F36" s="579"/>
      <c r="G36" s="624"/>
      <c r="H36" s="579"/>
      <c r="I36" s="632"/>
      <c r="J36" s="579"/>
      <c r="K36" s="632"/>
    </row>
    <row r="37" spans="1:12">
      <c r="A37" s="571" t="s">
        <v>1101</v>
      </c>
      <c r="B37" s="572">
        <v>45936610</v>
      </c>
      <c r="C37" s="572"/>
      <c r="D37" s="572">
        <v>929100</v>
      </c>
      <c r="E37" s="572">
        <v>450291</v>
      </c>
      <c r="F37" s="572">
        <f t="shared" si="5"/>
        <v>47316001</v>
      </c>
      <c r="G37" s="622">
        <v>47902349</v>
      </c>
      <c r="H37" s="572">
        <f>G37-B37</f>
        <v>1965739</v>
      </c>
      <c r="I37" s="630">
        <f>H37/B37</f>
        <v>4.2792426345783896E-2</v>
      </c>
      <c r="J37" s="572">
        <f>G37-F37</f>
        <v>586348</v>
      </c>
      <c r="K37" s="630">
        <f>J37/F37</f>
        <v>1.2392171519313308E-2</v>
      </c>
    </row>
    <row r="38" spans="1:12">
      <c r="B38" s="548"/>
      <c r="C38" s="548"/>
      <c r="D38" s="548"/>
      <c r="E38" s="548"/>
      <c r="F38" s="548"/>
      <c r="G38" s="623"/>
      <c r="H38" s="548"/>
      <c r="I38" s="627"/>
      <c r="J38" s="548"/>
      <c r="K38" s="627"/>
    </row>
    <row r="39" spans="1:12">
      <c r="A39" s="576" t="s">
        <v>1102</v>
      </c>
      <c r="B39" s="577">
        <f>+B35-B37</f>
        <v>168155</v>
      </c>
      <c r="C39" s="577">
        <f t="shared" ref="C39:D39" si="17">+C35-C37</f>
        <v>-4500000</v>
      </c>
      <c r="D39" s="577">
        <f t="shared" si="17"/>
        <v>-17347073</v>
      </c>
      <c r="E39" s="577">
        <f>+E35-E37</f>
        <v>-14751926</v>
      </c>
      <c r="F39" s="577">
        <f t="shared" si="5"/>
        <v>-36430844</v>
      </c>
      <c r="G39" s="577">
        <f>+G35-G37</f>
        <v>-32776197</v>
      </c>
      <c r="H39" s="577">
        <f>G39-B39</f>
        <v>-32944352</v>
      </c>
      <c r="I39" s="631">
        <f>H39/B39</f>
        <v>-195.91657696767862</v>
      </c>
      <c r="J39" s="577">
        <f>G39-F39</f>
        <v>3654647</v>
      </c>
      <c r="K39" s="631">
        <f>J39/F39</f>
        <v>-0.10031738490604281</v>
      </c>
    </row>
    <row r="40" spans="1:12" ht="16.2" thickBot="1">
      <c r="A40" s="580"/>
      <c r="B40" s="581"/>
      <c r="C40" s="581"/>
      <c r="D40" s="581"/>
      <c r="E40" s="581"/>
      <c r="F40" s="581"/>
      <c r="G40" s="625"/>
      <c r="H40" s="581"/>
      <c r="I40" s="633"/>
      <c r="J40" s="581"/>
      <c r="K40" s="633"/>
    </row>
    <row r="41" spans="1:12" ht="16.2" thickTop="1">
      <c r="A41" s="582"/>
      <c r="B41" s="583"/>
      <c r="C41" s="583"/>
      <c r="D41" s="583"/>
      <c r="E41" s="583"/>
      <c r="F41" s="583"/>
      <c r="G41" s="626"/>
      <c r="H41" s="583"/>
      <c r="I41" s="634"/>
      <c r="J41" s="583"/>
      <c r="K41" s="634"/>
    </row>
    <row r="42" spans="1:12" ht="15.6">
      <c r="A42" s="576" t="s">
        <v>1103</v>
      </c>
      <c r="B42" s="583"/>
      <c r="C42" s="583"/>
      <c r="D42" s="583"/>
      <c r="E42" s="583"/>
      <c r="F42" s="583"/>
      <c r="G42" s="626"/>
      <c r="H42" s="583"/>
      <c r="I42" s="634"/>
      <c r="J42" s="583"/>
      <c r="K42" s="634"/>
    </row>
    <row r="43" spans="1:12" ht="15.6">
      <c r="A43" s="576"/>
      <c r="B43" s="583"/>
      <c r="C43" s="583"/>
      <c r="D43" s="583"/>
      <c r="E43" s="583"/>
      <c r="F43" s="583"/>
      <c r="G43" s="626"/>
      <c r="H43" s="583"/>
      <c r="I43" s="634"/>
      <c r="J43" s="583"/>
      <c r="K43" s="634"/>
    </row>
    <row r="44" spans="1:12">
      <c r="A44" s="584" t="s">
        <v>1104</v>
      </c>
      <c r="B44" s="678"/>
      <c r="C44" s="678"/>
      <c r="D44" s="678"/>
      <c r="E44" s="678"/>
      <c r="F44" s="678"/>
      <c r="G44" s="678"/>
      <c r="H44" s="678"/>
      <c r="I44" s="680"/>
      <c r="J44" s="679"/>
      <c r="K44" s="680"/>
      <c r="L44" s="681"/>
    </row>
    <row r="45" spans="1:12">
      <c r="A45" s="571"/>
      <c r="B45" s="572"/>
      <c r="C45" s="572"/>
      <c r="D45" s="572"/>
      <c r="E45" s="572"/>
      <c r="F45" s="572"/>
      <c r="G45" s="622"/>
      <c r="H45" s="572"/>
      <c r="I45" s="630"/>
      <c r="J45" s="572"/>
      <c r="K45" s="630"/>
    </row>
    <row r="46" spans="1:12">
      <c r="A46" s="585" t="s">
        <v>1105</v>
      </c>
      <c r="B46" s="572"/>
      <c r="C46" s="572"/>
      <c r="D46" s="572"/>
      <c r="E46" s="572"/>
      <c r="F46" s="572"/>
      <c r="G46" s="645"/>
      <c r="H46" s="572"/>
      <c r="I46" s="630"/>
      <c r="J46" s="572"/>
      <c r="K46" s="630"/>
    </row>
    <row r="47" spans="1:12">
      <c r="A47" s="586" t="s">
        <v>1106</v>
      </c>
      <c r="B47" s="572">
        <v>193316331</v>
      </c>
      <c r="C47" s="572"/>
      <c r="D47" s="572">
        <v>-24041831</v>
      </c>
      <c r="E47" s="572">
        <v>-26642219</v>
      </c>
      <c r="F47" s="572">
        <f t="shared" si="5"/>
        <v>142632281</v>
      </c>
      <c r="G47" s="645">
        <v>168079905</v>
      </c>
      <c r="H47" s="572">
        <f>G47-B47</f>
        <v>-25236426</v>
      </c>
      <c r="I47" s="630">
        <f>H47/B47</f>
        <v>-0.13054471843871276</v>
      </c>
      <c r="J47" s="572">
        <f>G47-F47</f>
        <v>25447624</v>
      </c>
      <c r="K47" s="630">
        <f>J47/F47</f>
        <v>0.17841419783506091</v>
      </c>
    </row>
    <row r="48" spans="1:12">
      <c r="A48" s="586" t="s">
        <v>1101</v>
      </c>
      <c r="B48" s="572">
        <f>-B37</f>
        <v>-45936610</v>
      </c>
      <c r="C48" s="572"/>
      <c r="D48" s="572">
        <v>-929100</v>
      </c>
      <c r="E48" s="572">
        <f>-E37</f>
        <v>-450291</v>
      </c>
      <c r="F48" s="572">
        <f t="shared" si="5"/>
        <v>-47316001</v>
      </c>
      <c r="G48" s="645">
        <v>-47902349</v>
      </c>
      <c r="H48" s="572">
        <f>G48-B48</f>
        <v>-1965739</v>
      </c>
      <c r="I48" s="630">
        <f>H48/B48</f>
        <v>4.2792426345783896E-2</v>
      </c>
      <c r="J48" s="572">
        <f>G48-F48</f>
        <v>-586348</v>
      </c>
      <c r="K48" s="630">
        <f>J48/F48</f>
        <v>1.2392171519313308E-2</v>
      </c>
    </row>
    <row r="49" spans="1:11">
      <c r="A49" s="586" t="s">
        <v>1107</v>
      </c>
      <c r="B49" s="572">
        <f>B17</f>
        <v>-220000</v>
      </c>
      <c r="C49" s="572"/>
      <c r="D49" s="572"/>
      <c r="E49" s="572">
        <f>E17</f>
        <v>-200000</v>
      </c>
      <c r="F49" s="572">
        <f t="shared" si="5"/>
        <v>-420000</v>
      </c>
      <c r="G49" s="645">
        <v>-220000</v>
      </c>
      <c r="H49" s="572"/>
      <c r="I49" s="630">
        <f>H49/B49</f>
        <v>0</v>
      </c>
      <c r="J49" s="572">
        <f>G49-F49</f>
        <v>200000</v>
      </c>
      <c r="K49" s="630">
        <f>J49/F49</f>
        <v>-0.47619047619047616</v>
      </c>
    </row>
    <row r="50" spans="1:11" ht="15.75" customHeight="1">
      <c r="A50" s="587" t="s">
        <v>1108</v>
      </c>
      <c r="B50" s="570">
        <f>B47+B48+B49</f>
        <v>147159721</v>
      </c>
      <c r="C50" s="570">
        <f t="shared" ref="C50:D50" si="18">C47+C48+C49</f>
        <v>0</v>
      </c>
      <c r="D50" s="570">
        <f t="shared" si="18"/>
        <v>-24970931</v>
      </c>
      <c r="E50" s="570">
        <f>E47+E48+E49</f>
        <v>-27292510</v>
      </c>
      <c r="F50" s="570">
        <f t="shared" si="5"/>
        <v>94896280</v>
      </c>
      <c r="G50" s="570">
        <f>G47+G48+G49</f>
        <v>119957556</v>
      </c>
      <c r="H50" s="570">
        <f>G50-B50</f>
        <v>-27202165</v>
      </c>
      <c r="I50" s="629">
        <f>H50/B50</f>
        <v>-0.18484789734006088</v>
      </c>
      <c r="J50" s="570">
        <f>G50-F50</f>
        <v>25061276</v>
      </c>
      <c r="K50" s="629">
        <f>J50/F50</f>
        <v>0.26409123729613004</v>
      </c>
    </row>
    <row r="51" spans="1:11" ht="15.75" customHeight="1">
      <c r="A51" s="587"/>
      <c r="B51" s="570"/>
      <c r="C51" s="570"/>
      <c r="D51" s="570"/>
      <c r="E51" s="570"/>
      <c r="F51" s="570"/>
      <c r="G51" s="646"/>
      <c r="H51" s="570"/>
      <c r="I51" s="629"/>
      <c r="J51" s="570"/>
      <c r="K51" s="629"/>
    </row>
    <row r="52" spans="1:11" ht="15.75" customHeight="1">
      <c r="A52" s="585" t="s">
        <v>1109</v>
      </c>
      <c r="B52" s="570"/>
      <c r="C52" s="570"/>
      <c r="D52" s="570"/>
      <c r="E52" s="570"/>
      <c r="F52" s="570"/>
      <c r="G52" s="646"/>
      <c r="H52" s="570"/>
      <c r="I52" s="629"/>
      <c r="J52" s="570"/>
      <c r="K52" s="629"/>
    </row>
    <row r="53" spans="1:11" ht="15.75" customHeight="1">
      <c r="A53" s="586" t="s">
        <v>1110</v>
      </c>
      <c r="B53" s="572">
        <v>-66760384</v>
      </c>
      <c r="C53" s="572">
        <v>-4500000</v>
      </c>
      <c r="D53" s="572">
        <v>6423858</v>
      </c>
      <c r="E53" s="572">
        <f>14893403-200000+100000-4500+914710-15635-339080+2100000-21836+10192-58000-352000-2590-195722-2022-1000000-2850000-10000+10000-9571+357875-24000+500000-22640-38000</f>
        <v>13740584</v>
      </c>
      <c r="F53" s="572">
        <f t="shared" si="5"/>
        <v>-51095942</v>
      </c>
      <c r="G53" s="645">
        <v>-76583571</v>
      </c>
      <c r="H53" s="572">
        <f>G53-B53</f>
        <v>-9823187</v>
      </c>
      <c r="I53" s="630">
        <f>H53/B53</f>
        <v>0.14714096012389624</v>
      </c>
      <c r="J53" s="572">
        <f>G53-F53</f>
        <v>-25487629</v>
      </c>
      <c r="K53" s="630">
        <f>J53/F53</f>
        <v>0.49881904516018122</v>
      </c>
    </row>
    <row r="54" spans="1:11">
      <c r="E54" s="572"/>
      <c r="F54" s="572"/>
      <c r="G54" s="524"/>
      <c r="H54" s="572"/>
      <c r="I54" s="630"/>
      <c r="J54" s="572"/>
      <c r="K54" s="630"/>
    </row>
    <row r="55" spans="1:11">
      <c r="A55" s="585" t="s">
        <v>1207</v>
      </c>
      <c r="B55" s="570"/>
      <c r="C55" s="570"/>
      <c r="D55" s="570"/>
      <c r="E55" s="572"/>
      <c r="F55" s="572"/>
      <c r="G55" s="646"/>
      <c r="H55" s="572"/>
      <c r="I55" s="630"/>
      <c r="J55" s="572"/>
      <c r="K55" s="630"/>
    </row>
    <row r="56" spans="1:11">
      <c r="A56" s="586" t="s">
        <v>1208</v>
      </c>
      <c r="B56" s="570"/>
      <c r="C56" s="570"/>
      <c r="D56" s="572">
        <v>1200000</v>
      </c>
      <c r="E56" s="572">
        <v>-1200000</v>
      </c>
      <c r="F56" s="572">
        <f t="shared" si="5"/>
        <v>0</v>
      </c>
      <c r="G56" s="646"/>
      <c r="H56" s="572"/>
      <c r="I56" s="630"/>
      <c r="J56" s="572"/>
      <c r="K56" s="630"/>
    </row>
    <row r="57" spans="1:11">
      <c r="A57" s="587"/>
      <c r="B57" s="570"/>
      <c r="C57" s="570"/>
      <c r="D57" s="570"/>
      <c r="E57" s="570"/>
      <c r="F57" s="570"/>
      <c r="G57" s="646"/>
      <c r="H57" s="570"/>
      <c r="I57" s="629"/>
      <c r="J57" s="570"/>
      <c r="K57" s="629"/>
    </row>
    <row r="58" spans="1:11">
      <c r="A58" s="587" t="s">
        <v>1111</v>
      </c>
      <c r="B58" s="570">
        <f>B53</f>
        <v>-66760384</v>
      </c>
      <c r="C58" s="570">
        <f>C53</f>
        <v>-4500000</v>
      </c>
      <c r="D58" s="570">
        <f>D53+D56</f>
        <v>7623858</v>
      </c>
      <c r="E58" s="570">
        <f>E53+E56</f>
        <v>12540584</v>
      </c>
      <c r="F58" s="570">
        <f t="shared" si="5"/>
        <v>-51095942</v>
      </c>
      <c r="G58" s="646">
        <f>G53</f>
        <v>-76583571</v>
      </c>
      <c r="H58" s="570">
        <f>G58-B58</f>
        <v>-9823187</v>
      </c>
      <c r="I58" s="629">
        <f>H58/B58</f>
        <v>0.14714096012389624</v>
      </c>
      <c r="J58" s="570">
        <f>G58-F58</f>
        <v>-25487629</v>
      </c>
      <c r="K58" s="629">
        <f>J58/F58</f>
        <v>0.49881904516018122</v>
      </c>
    </row>
    <row r="59" spans="1:11">
      <c r="A59" s="587"/>
      <c r="B59" s="570"/>
      <c r="C59" s="570"/>
      <c r="D59" s="570"/>
      <c r="E59" s="570"/>
      <c r="F59" s="570"/>
      <c r="G59" s="646"/>
      <c r="H59" s="570"/>
      <c r="I59" s="629"/>
      <c r="J59" s="570"/>
      <c r="K59" s="629"/>
    </row>
    <row r="60" spans="1:11">
      <c r="A60" s="584" t="s">
        <v>1112</v>
      </c>
      <c r="B60" s="570"/>
      <c r="C60" s="570"/>
      <c r="D60" s="570"/>
      <c r="E60" s="570"/>
      <c r="F60" s="570"/>
      <c r="G60" s="646"/>
      <c r="H60" s="570"/>
      <c r="I60" s="629"/>
      <c r="J60" s="570"/>
      <c r="K60" s="629"/>
    </row>
    <row r="61" spans="1:11">
      <c r="A61" s="584"/>
      <c r="B61" s="570"/>
      <c r="C61" s="570"/>
      <c r="D61" s="570"/>
      <c r="E61" s="570"/>
      <c r="F61" s="570"/>
      <c r="G61" s="621"/>
      <c r="H61" s="570"/>
      <c r="I61" s="629"/>
      <c r="J61" s="570"/>
      <c r="K61" s="629"/>
    </row>
    <row r="62" spans="1:11">
      <c r="A62" s="587" t="s">
        <v>1113</v>
      </c>
      <c r="B62" s="570">
        <f>-B63</f>
        <v>-7345608</v>
      </c>
      <c r="C62" s="570"/>
      <c r="D62" s="570"/>
      <c r="E62" s="570"/>
      <c r="F62" s="570">
        <f t="shared" si="5"/>
        <v>-7345608</v>
      </c>
      <c r="G62" s="621">
        <v>-7345608</v>
      </c>
      <c r="H62" s="570"/>
      <c r="I62" s="629">
        <f>H62/B62</f>
        <v>0</v>
      </c>
      <c r="J62" s="570"/>
      <c r="K62" s="629">
        <f>J62/F62</f>
        <v>0</v>
      </c>
    </row>
    <row r="63" spans="1:11">
      <c r="A63" s="586" t="s">
        <v>1209</v>
      </c>
      <c r="B63" s="572">
        <v>7345608</v>
      </c>
      <c r="C63" s="572"/>
      <c r="D63" s="572"/>
      <c r="E63" s="572"/>
      <c r="F63" s="572">
        <f t="shared" si="5"/>
        <v>7345608</v>
      </c>
      <c r="G63" s="622">
        <v>7345608</v>
      </c>
      <c r="H63" s="572"/>
      <c r="I63" s="630">
        <f>H63/B63</f>
        <v>0</v>
      </c>
      <c r="J63" s="572"/>
      <c r="K63" s="630">
        <f>J63/F63</f>
        <v>0</v>
      </c>
    </row>
    <row r="64" spans="1:11">
      <c r="A64" s="587"/>
      <c r="B64" s="570"/>
      <c r="C64" s="570"/>
      <c r="D64" s="570"/>
      <c r="E64" s="570"/>
      <c r="F64" s="570"/>
      <c r="G64" s="621"/>
      <c r="H64" s="570"/>
      <c r="I64" s="629"/>
      <c r="J64" s="570"/>
      <c r="K64" s="629"/>
    </row>
    <row r="65" spans="1:11">
      <c r="A65" s="587" t="s">
        <v>1115</v>
      </c>
      <c r="B65" s="570">
        <f>B66+B67</f>
        <v>75868</v>
      </c>
      <c r="C65" s="570"/>
      <c r="D65" s="570"/>
      <c r="E65" s="570"/>
      <c r="F65" s="570">
        <f t="shared" si="5"/>
        <v>75868</v>
      </c>
      <c r="G65" s="621">
        <v>-35505</v>
      </c>
      <c r="H65" s="570">
        <f>G65-B65</f>
        <v>-111373</v>
      </c>
      <c r="I65" s="629">
        <f>H65/B65</f>
        <v>-1.4679838667158749</v>
      </c>
      <c r="J65" s="570">
        <f>G65-F65</f>
        <v>-111373</v>
      </c>
      <c r="K65" s="629">
        <f>J65/F65</f>
        <v>-1.4679838667158749</v>
      </c>
    </row>
    <row r="66" spans="1:11">
      <c r="A66" s="586" t="s">
        <v>1116</v>
      </c>
      <c r="B66" s="572">
        <v>304200</v>
      </c>
      <c r="C66" s="572"/>
      <c r="D66" s="572"/>
      <c r="E66" s="572"/>
      <c r="F66" s="572">
        <f t="shared" si="5"/>
        <v>304200</v>
      </c>
      <c r="G66" s="622">
        <v>241034</v>
      </c>
      <c r="H66" s="572">
        <f>G66-B66</f>
        <v>-63166</v>
      </c>
      <c r="I66" s="630">
        <f>H66/B66</f>
        <v>-0.20764628533859303</v>
      </c>
      <c r="J66" s="572">
        <f>G66-F66</f>
        <v>-63166</v>
      </c>
      <c r="K66" s="630">
        <f>J66/F66</f>
        <v>-0.20764628533859303</v>
      </c>
    </row>
    <row r="67" spans="1:11">
      <c r="A67" s="586" t="s">
        <v>1117</v>
      </c>
      <c r="B67" s="572">
        <v>-228332</v>
      </c>
      <c r="C67" s="572"/>
      <c r="D67" s="572"/>
      <c r="E67" s="572"/>
      <c r="F67" s="572">
        <f t="shared" si="5"/>
        <v>-228332</v>
      </c>
      <c r="G67" s="622">
        <v>-276539</v>
      </c>
      <c r="H67" s="572">
        <f>G67-B67</f>
        <v>-48207</v>
      </c>
      <c r="I67" s="630">
        <f>H67/B67</f>
        <v>0.21112678030236673</v>
      </c>
      <c r="J67" s="572">
        <f>G67-F67</f>
        <v>-48207</v>
      </c>
      <c r="K67" s="630">
        <f>J67/F67</f>
        <v>0.21112678030236673</v>
      </c>
    </row>
    <row r="68" spans="1:11" ht="15.6">
      <c r="A68" s="576"/>
      <c r="B68" s="583"/>
      <c r="C68" s="583"/>
      <c r="D68" s="583"/>
      <c r="E68" s="583"/>
      <c r="F68" s="583"/>
      <c r="G68" s="626"/>
      <c r="H68" s="583"/>
      <c r="I68" s="634"/>
      <c r="J68" s="583"/>
      <c r="K68" s="634"/>
    </row>
    <row r="69" spans="1:11">
      <c r="A69" s="584" t="s">
        <v>1118</v>
      </c>
      <c r="B69" s="572"/>
      <c r="C69" s="572"/>
      <c r="D69" s="572"/>
      <c r="E69" s="572"/>
      <c r="F69" s="572"/>
      <c r="G69" s="622"/>
      <c r="H69" s="572"/>
      <c r="I69" s="630"/>
      <c r="J69" s="572"/>
      <c r="K69" s="630"/>
    </row>
    <row r="70" spans="1:11">
      <c r="A70" s="571"/>
      <c r="B70" s="572"/>
      <c r="C70" s="572"/>
      <c r="D70" s="572"/>
      <c r="E70" s="572"/>
      <c r="F70" s="572"/>
      <c r="G70" s="622"/>
      <c r="H70" s="572"/>
      <c r="I70" s="630"/>
      <c r="J70" s="572"/>
      <c r="K70" s="630"/>
    </row>
    <row r="71" spans="1:11">
      <c r="A71" s="587" t="s">
        <v>1119</v>
      </c>
      <c r="B71" s="570">
        <f>B72-B73-B74</f>
        <v>72885574</v>
      </c>
      <c r="C71" s="570"/>
      <c r="D71" s="570"/>
      <c r="E71" s="570"/>
      <c r="F71" s="570">
        <f t="shared" si="5"/>
        <v>72885574</v>
      </c>
      <c r="G71" s="570">
        <f>G72-G73-G74</f>
        <v>68804574</v>
      </c>
      <c r="H71" s="570">
        <f>G71-B71</f>
        <v>-4081000</v>
      </c>
      <c r="I71" s="629">
        <f>H71/B71</f>
        <v>-5.5991875703688632E-2</v>
      </c>
      <c r="J71" s="570">
        <f>G71-F71</f>
        <v>-4081000</v>
      </c>
      <c r="K71" s="629">
        <f>J71/F71</f>
        <v>-5.5991875703688632E-2</v>
      </c>
    </row>
    <row r="72" spans="1:11">
      <c r="A72" s="586" t="s">
        <v>24</v>
      </c>
      <c r="B72" s="572">
        <v>90000000</v>
      </c>
      <c r="C72" s="572"/>
      <c r="D72" s="572"/>
      <c r="E72" s="572"/>
      <c r="F72" s="572">
        <f t="shared" si="5"/>
        <v>90000000</v>
      </c>
      <c r="G72" s="622">
        <v>90000000</v>
      </c>
      <c r="H72" s="572"/>
      <c r="I72" s="630">
        <f>H72/B72</f>
        <v>0</v>
      </c>
      <c r="J72" s="572"/>
      <c r="K72" s="630">
        <f>J72/F72</f>
        <v>0</v>
      </c>
    </row>
    <row r="73" spans="1:11">
      <c r="A73" s="586" t="s">
        <v>1114</v>
      </c>
      <c r="B73" s="572">
        <v>16209156</v>
      </c>
      <c r="C73" s="572"/>
      <c r="D73" s="572"/>
      <c r="E73" s="572"/>
      <c r="F73" s="572">
        <f t="shared" ref="F73:F80" si="19">B73+C73+D73+E73</f>
        <v>16209156</v>
      </c>
      <c r="G73" s="622">
        <v>20209156</v>
      </c>
      <c r="H73" s="572">
        <f>G73-B73</f>
        <v>4000000</v>
      </c>
      <c r="I73" s="630">
        <f>H73/B73</f>
        <v>0.24677410717744958</v>
      </c>
      <c r="J73" s="572">
        <f>G73-F73</f>
        <v>4000000</v>
      </c>
      <c r="K73" s="630">
        <f>J73/F73</f>
        <v>0.24677410717744958</v>
      </c>
    </row>
    <row r="74" spans="1:11">
      <c r="A74" s="586" t="s">
        <v>1120</v>
      </c>
      <c r="B74" s="572">
        <v>905270</v>
      </c>
      <c r="C74" s="572"/>
      <c r="D74" s="572"/>
      <c r="E74" s="572"/>
      <c r="F74" s="572">
        <f t="shared" si="19"/>
        <v>905270</v>
      </c>
      <c r="G74" s="622">
        <v>986270</v>
      </c>
      <c r="H74" s="572">
        <f>G74-B74</f>
        <v>81000</v>
      </c>
      <c r="I74" s="630">
        <f>H74/B74</f>
        <v>8.9476067913440191E-2</v>
      </c>
      <c r="J74" s="572">
        <f>G74-F74</f>
        <v>81000</v>
      </c>
      <c r="K74" s="630">
        <f>J74/F74</f>
        <v>8.9476067913440191E-2</v>
      </c>
    </row>
    <row r="75" spans="1:11">
      <c r="A75" s="586"/>
      <c r="B75" s="572"/>
      <c r="C75" s="572"/>
      <c r="D75" s="572"/>
      <c r="E75" s="572"/>
      <c r="F75" s="572"/>
      <c r="G75" s="622"/>
      <c r="H75" s="572"/>
      <c r="I75" s="630"/>
      <c r="J75" s="572"/>
      <c r="K75" s="630"/>
    </row>
    <row r="76" spans="1:11">
      <c r="A76" s="587" t="s">
        <v>1121</v>
      </c>
      <c r="B76" s="570">
        <f>B77+B78</f>
        <v>75868</v>
      </c>
      <c r="C76" s="570"/>
      <c r="D76" s="570"/>
      <c r="E76" s="570"/>
      <c r="F76" s="570">
        <f t="shared" si="19"/>
        <v>75868</v>
      </c>
      <c r="G76" s="621">
        <v>-35505</v>
      </c>
      <c r="H76" s="570">
        <f>G76-B76</f>
        <v>-111373</v>
      </c>
      <c r="I76" s="629">
        <f>H76/B76</f>
        <v>-1.4679838667158749</v>
      </c>
      <c r="J76" s="570">
        <f>G76-F76</f>
        <v>-111373</v>
      </c>
      <c r="K76" s="629">
        <f>J76/F76</f>
        <v>-1.4679838667158749</v>
      </c>
    </row>
    <row r="77" spans="1:11">
      <c r="A77" s="586" t="s">
        <v>1210</v>
      </c>
      <c r="B77" s="572">
        <v>304200</v>
      </c>
      <c r="C77" s="572"/>
      <c r="D77" s="572"/>
      <c r="E77" s="572"/>
      <c r="F77" s="572">
        <f t="shared" si="19"/>
        <v>304200</v>
      </c>
      <c r="G77" s="622">
        <v>241034</v>
      </c>
      <c r="H77" s="572">
        <f>G77-B77</f>
        <v>-63166</v>
      </c>
      <c r="I77" s="630">
        <f>H77/B77</f>
        <v>-0.20764628533859303</v>
      </c>
      <c r="J77" s="572">
        <f>G77-F77</f>
        <v>-63166</v>
      </c>
      <c r="K77" s="630">
        <f>J77/F77</f>
        <v>-0.20764628533859303</v>
      </c>
    </row>
    <row r="78" spans="1:11">
      <c r="A78" s="586" t="s">
        <v>1122</v>
      </c>
      <c r="B78" s="572">
        <v>-228332</v>
      </c>
      <c r="C78" s="572"/>
      <c r="D78" s="572"/>
      <c r="E78" s="572"/>
      <c r="F78" s="572">
        <f t="shared" si="19"/>
        <v>-228332</v>
      </c>
      <c r="G78" s="622">
        <v>-276539</v>
      </c>
      <c r="H78" s="572">
        <f>G78-B78</f>
        <v>-48207</v>
      </c>
      <c r="I78" s="630">
        <f>H78/B78</f>
        <v>0.21112678030236673</v>
      </c>
      <c r="J78" s="572">
        <f>G78-F78</f>
        <v>-48207</v>
      </c>
      <c r="K78" s="630">
        <f>J78/F78</f>
        <v>0.21112678030236673</v>
      </c>
    </row>
    <row r="79" spans="1:11">
      <c r="A79" s="588"/>
      <c r="B79" s="570"/>
      <c r="C79" s="570"/>
      <c r="D79" s="570"/>
      <c r="E79" s="570"/>
      <c r="F79" s="570"/>
      <c r="G79" s="621"/>
      <c r="H79" s="570"/>
      <c r="I79" s="629"/>
      <c r="J79" s="570"/>
      <c r="K79" s="629"/>
    </row>
    <row r="80" spans="1:11">
      <c r="A80" s="584" t="s">
        <v>1123</v>
      </c>
      <c r="B80" s="579">
        <f>+B50-B71+B65-B76+B53-B63</f>
        <v>168155</v>
      </c>
      <c r="C80" s="579">
        <f>+C50-C71+C65-C76+C53-C63</f>
        <v>-4500000</v>
      </c>
      <c r="D80" s="579">
        <f>+D50-D71+D65-D76+D53-D63+D56</f>
        <v>-17347073</v>
      </c>
      <c r="E80" s="579">
        <f>+E50-E71+E65-E76+E53-E63+E56</f>
        <v>-14751926</v>
      </c>
      <c r="F80" s="579">
        <f t="shared" si="19"/>
        <v>-36430844</v>
      </c>
      <c r="G80" s="579">
        <f>+G50-G71+G65-G76+G53-G63</f>
        <v>-32776197</v>
      </c>
      <c r="H80" s="579">
        <f>G80-B80</f>
        <v>-32944352</v>
      </c>
      <c r="I80" s="632">
        <f>H80/B80</f>
        <v>-195.91657696767862</v>
      </c>
      <c r="J80" s="579">
        <f>G80-F80</f>
        <v>3654647</v>
      </c>
      <c r="K80" s="632">
        <f>J80/F80</f>
        <v>-0.10031738490604281</v>
      </c>
    </row>
    <row r="81" spans="1:11">
      <c r="A81" s="584"/>
      <c r="B81" s="579"/>
      <c r="C81" s="579"/>
      <c r="D81" s="579"/>
      <c r="E81" s="579"/>
      <c r="F81" s="579"/>
      <c r="G81" s="624"/>
      <c r="H81" s="579"/>
      <c r="I81" s="632"/>
      <c r="J81" s="579"/>
      <c r="K81" s="632"/>
    </row>
    <row r="82" spans="1:11">
      <c r="A82" s="588"/>
      <c r="B82" s="570"/>
      <c r="C82" s="570"/>
      <c r="D82" s="570"/>
      <c r="E82" s="570"/>
      <c r="F82" s="570"/>
      <c r="G82" s="621"/>
      <c r="H82" s="570"/>
      <c r="I82" s="629"/>
      <c r="J82" s="570"/>
      <c r="K82" s="629"/>
    </row>
    <row r="83" spans="1:11">
      <c r="A83" s="557" t="s">
        <v>1124</v>
      </c>
      <c r="B83" s="548">
        <f>B8-B49+B72-B65+B63-B53</f>
        <v>1032770665</v>
      </c>
      <c r="C83" s="548">
        <f>C8-C49+C72-C65+C63-C53</f>
        <v>9843000</v>
      </c>
      <c r="D83" s="548">
        <f>D8-D49+D72-D65+D63</f>
        <v>30041994</v>
      </c>
      <c r="E83" s="548">
        <f>E8-E49+E72-E65+E63</f>
        <v>21959776</v>
      </c>
      <c r="F83" s="548">
        <f>F8-F49+F72-F65+F63-F53</f>
        <v>1074450993</v>
      </c>
      <c r="G83" s="548">
        <f>G8-G49+G72-G65+G63-G53</f>
        <v>1140966372</v>
      </c>
      <c r="H83" s="548">
        <f>G83-B83</f>
        <v>108195707</v>
      </c>
      <c r="I83" s="627">
        <f>H83/B83</f>
        <v>0.10476256798018174</v>
      </c>
      <c r="J83" s="548">
        <f>G83-F83</f>
        <v>66515379</v>
      </c>
      <c r="K83" s="627">
        <f>J83/F83</f>
        <v>6.190638701378165E-2</v>
      </c>
    </row>
    <row r="84" spans="1:11">
      <c r="A84" s="557" t="s">
        <v>1125</v>
      </c>
      <c r="B84" s="548">
        <f>B26+B47+B73+B74-B76</f>
        <v>1032770665</v>
      </c>
      <c r="C84" s="548">
        <f>C26+C47+C73+C74-C76</f>
        <v>9843000</v>
      </c>
      <c r="D84" s="548">
        <f>D26+D47+D73+D74-D76+D56+D53</f>
        <v>30041994</v>
      </c>
      <c r="E84" s="548">
        <f>E26+E47+E73+E74-E76+E56+E53</f>
        <v>21959776</v>
      </c>
      <c r="F84" s="548">
        <f>F26+F47+F73+F74-F76</f>
        <v>1074450993</v>
      </c>
      <c r="G84" s="548">
        <f>G26+G47+G73+G74-G76</f>
        <v>1140966372</v>
      </c>
      <c r="H84" s="548">
        <f>G84-B84</f>
        <v>108195707</v>
      </c>
      <c r="I84" s="627">
        <f>H84/B84</f>
        <v>0.10476256798018174</v>
      </c>
      <c r="J84" s="548">
        <f>G84-F84</f>
        <v>66515379</v>
      </c>
      <c r="K84" s="627">
        <f>J84/F84</f>
        <v>6.190638701378165E-2</v>
      </c>
    </row>
    <row r="85" spans="1:11">
      <c r="A85" s="619"/>
      <c r="B85" s="548"/>
      <c r="C85" s="548"/>
      <c r="D85" s="548"/>
      <c r="E85" s="589"/>
      <c r="F85" s="548"/>
      <c r="G85" s="548"/>
      <c r="H85" s="548"/>
      <c r="J85" s="548"/>
    </row>
    <row r="86" spans="1:11">
      <c r="A86" s="619"/>
      <c r="B86" s="589"/>
      <c r="E86" s="589"/>
      <c r="F86" s="589"/>
      <c r="H86" s="589"/>
      <c r="I86" s="628"/>
      <c r="J86" s="589"/>
      <c r="K86" s="628"/>
    </row>
    <row r="87" spans="1:11">
      <c r="A87" s="619"/>
      <c r="B87" s="548"/>
    </row>
    <row r="88" spans="1:11">
      <c r="A88" s="590"/>
      <c r="B88" s="548"/>
      <c r="E88" s="548"/>
      <c r="F88" s="548"/>
      <c r="H88" s="548"/>
      <c r="J88" s="548"/>
    </row>
    <row r="91" spans="1:11">
      <c r="A91" s="591"/>
    </row>
    <row r="92" spans="1:11">
      <c r="A92" s="591"/>
    </row>
    <row r="93" spans="1:11">
      <c r="A93" s="592"/>
    </row>
    <row r="94" spans="1:11">
      <c r="A94" s="592"/>
    </row>
    <row r="95" spans="1:11">
      <c r="A95" s="592"/>
    </row>
    <row r="96" spans="1:11">
      <c r="A96" s="593"/>
    </row>
    <row r="97" spans="1:1">
      <c r="A97" s="591"/>
    </row>
    <row r="98" spans="1:1">
      <c r="A98" s="591"/>
    </row>
    <row r="101" spans="1:1">
      <c r="A101" s="593"/>
    </row>
    <row r="107" spans="1:1">
      <c r="A107" s="593"/>
    </row>
  </sheetData>
  <autoFilter ref="A5:K84" xr:uid="{33F18134-E011-4737-8865-4866FC1FAFA7}"/>
  <mergeCells count="3">
    <mergeCell ref="J4:K4"/>
    <mergeCell ref="H4:I4"/>
    <mergeCell ref="B4:F4"/>
  </mergeCells>
  <printOptions gridLines="1"/>
  <pageMargins left="1.1811023622047245" right="0.47244094488188981" top="0.47244094488188981" bottom="0.98425196850393704" header="0.51181102362204722" footer="0.51181102362204722"/>
  <pageSetup paperSize="9" scale="85"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ACDD-8170-4F90-8430-2666628BCE83}">
  <sheetPr>
    <tabColor theme="9" tint="0.79998168889431442"/>
  </sheetPr>
  <dimension ref="A1:Y60"/>
  <sheetViews>
    <sheetView showZeros="0" zoomScaleNormal="100" workbookViewId="0">
      <selection activeCell="N23" sqref="N23"/>
    </sheetView>
  </sheetViews>
  <sheetFormatPr defaultColWidth="9.44140625" defaultRowHeight="13.2"/>
  <cols>
    <col min="1" max="1" width="36" style="75" customWidth="1"/>
    <col min="2" max="3" width="13.44140625" style="75" hidden="1" customWidth="1"/>
    <col min="4" max="4" width="13.44140625" style="75" customWidth="1"/>
    <col min="5" max="7" width="13.44140625" style="75" hidden="1" customWidth="1"/>
    <col min="8" max="9" width="10.44140625" style="75" hidden="1" customWidth="1"/>
    <col min="10" max="13" width="13.44140625" style="75" hidden="1" customWidth="1"/>
    <col min="14" max="14" width="13.44140625" style="75" customWidth="1"/>
    <col min="15" max="16" width="13.44140625" style="75" hidden="1" customWidth="1"/>
    <col min="17" max="17" width="13.44140625" style="75" customWidth="1"/>
    <col min="18" max="18" width="10.5546875" style="75" bestFit="1" customWidth="1"/>
    <col min="19" max="19" width="9.44140625" style="75"/>
    <col min="20" max="20" width="10.5546875" style="75" bestFit="1" customWidth="1"/>
    <col min="21" max="24" width="9.44140625" style="75"/>
    <col min="25" max="25" width="0" style="75" hidden="1" customWidth="1"/>
    <col min="26" max="16384" width="9.44140625" style="75"/>
  </cols>
  <sheetData>
    <row r="1" spans="1:25" ht="13.8">
      <c r="A1" s="540" t="s">
        <v>1064</v>
      </c>
    </row>
    <row r="2" spans="1:25">
      <c r="A2" s="541"/>
      <c r="B2" s="541"/>
      <c r="C2" s="541"/>
      <c r="D2" s="542" t="s">
        <v>14</v>
      </c>
      <c r="E2" s="542"/>
      <c r="F2" s="542"/>
      <c r="G2" s="542"/>
      <c r="J2" s="542"/>
      <c r="K2" s="614"/>
      <c r="L2" s="614"/>
      <c r="M2" s="614"/>
      <c r="N2" s="542"/>
      <c r="O2" s="542"/>
      <c r="P2" s="542"/>
      <c r="Q2" s="542"/>
    </row>
    <row r="3" spans="1:25" ht="27" customHeight="1">
      <c r="D3" s="765">
        <v>2022</v>
      </c>
      <c r="E3" s="765"/>
      <c r="F3" s="765"/>
      <c r="G3" s="765"/>
      <c r="H3" s="765"/>
      <c r="I3" s="765"/>
      <c r="J3" s="765"/>
      <c r="K3" s="765"/>
      <c r="L3" s="765"/>
      <c r="M3" s="765"/>
      <c r="N3" s="765"/>
      <c r="Q3" s="638">
        <v>2023</v>
      </c>
      <c r="R3" s="758" t="s">
        <v>1212</v>
      </c>
      <c r="S3" s="759"/>
      <c r="T3" s="756" t="s">
        <v>1213</v>
      </c>
      <c r="U3" s="757"/>
      <c r="V3" s="763" t="s">
        <v>1214</v>
      </c>
    </row>
    <row r="4" spans="1:25" ht="26.4">
      <c r="A4" s="196" t="s">
        <v>1065</v>
      </c>
      <c r="B4" s="543" t="s">
        <v>25</v>
      </c>
      <c r="C4" s="543" t="s">
        <v>1066</v>
      </c>
      <c r="D4" s="647" t="s">
        <v>667</v>
      </c>
      <c r="E4" s="543" t="s">
        <v>25</v>
      </c>
      <c r="F4" s="543" t="s">
        <v>1066</v>
      </c>
      <c r="G4" s="648" t="s">
        <v>827</v>
      </c>
      <c r="H4" s="543" t="s">
        <v>25</v>
      </c>
      <c r="I4" s="543" t="s">
        <v>1066</v>
      </c>
      <c r="J4" s="648" t="s">
        <v>828</v>
      </c>
      <c r="K4" s="543" t="s">
        <v>25</v>
      </c>
      <c r="L4" s="543" t="s">
        <v>1066</v>
      </c>
      <c r="M4" s="648" t="s">
        <v>1187</v>
      </c>
      <c r="N4" s="647" t="s">
        <v>668</v>
      </c>
      <c r="O4" s="543" t="s">
        <v>25</v>
      </c>
      <c r="P4" s="543" t="s">
        <v>1066</v>
      </c>
      <c r="Q4" s="639" t="s">
        <v>1211</v>
      </c>
      <c r="R4" s="640" t="s">
        <v>14</v>
      </c>
      <c r="S4" s="641" t="s">
        <v>743</v>
      </c>
      <c r="T4" s="642" t="s">
        <v>14</v>
      </c>
      <c r="U4" s="643" t="s">
        <v>743</v>
      </c>
      <c r="V4" s="764"/>
    </row>
    <row r="5" spans="1:25" ht="7.5" customHeight="1">
      <c r="A5" s="10"/>
      <c r="B5" s="10"/>
      <c r="C5" s="10"/>
      <c r="D5" s="10"/>
      <c r="E5" s="10"/>
      <c r="F5" s="10"/>
      <c r="G5" s="10"/>
      <c r="J5" s="10"/>
      <c r="K5" s="10"/>
      <c r="L5" s="10"/>
      <c r="M5" s="10"/>
      <c r="N5" s="10"/>
      <c r="O5" s="10"/>
      <c r="P5" s="10"/>
      <c r="Q5" s="10"/>
      <c r="R5" s="10"/>
      <c r="S5" s="308"/>
      <c r="T5" s="10"/>
      <c r="U5" s="308"/>
    </row>
    <row r="6" spans="1:25" ht="13.8">
      <c r="A6" s="14" t="s">
        <v>1067</v>
      </c>
      <c r="B6" s="13">
        <f>B8+B12</f>
        <v>593370000</v>
      </c>
      <c r="C6" s="13"/>
      <c r="D6" s="13">
        <f t="shared" ref="D6:D53" si="0">B6+C6</f>
        <v>593370000</v>
      </c>
      <c r="E6" s="13">
        <f>E8+E12</f>
        <v>5343000</v>
      </c>
      <c r="F6" s="13"/>
      <c r="G6" s="13">
        <f t="shared" ref="G6:G44" si="1">E6+F6</f>
        <v>5343000</v>
      </c>
      <c r="H6" s="13">
        <f>H8+H12</f>
        <v>14600000</v>
      </c>
      <c r="I6" s="18"/>
      <c r="J6" s="13">
        <f t="shared" ref="J6:J53" si="2">H6+I6</f>
        <v>14600000</v>
      </c>
      <c r="K6" s="13">
        <f>K8+K12</f>
        <v>12000000</v>
      </c>
      <c r="L6" s="13"/>
      <c r="M6" s="13">
        <f>K6+L6</f>
        <v>12000000</v>
      </c>
      <c r="N6" s="13">
        <f>D6+G6+J6+M6</f>
        <v>625313000</v>
      </c>
      <c r="O6" s="13">
        <f>O8+O12</f>
        <v>664270000</v>
      </c>
      <c r="P6" s="13"/>
      <c r="Q6" s="13">
        <f t="shared" ref="Q6:Q46" si="3">O6+P6</f>
        <v>664270000</v>
      </c>
      <c r="R6" s="13">
        <f>Q6-D6</f>
        <v>70900000</v>
      </c>
      <c r="S6" s="163">
        <f>R6/D6</f>
        <v>0.11948699799450596</v>
      </c>
      <c r="T6" s="13">
        <f t="shared" ref="T6:T53" si="4">Q6-N6</f>
        <v>38957000</v>
      </c>
      <c r="U6" s="632">
        <f>T6/N6</f>
        <v>6.2300000159919912E-2</v>
      </c>
      <c r="V6" s="632">
        <f ca="1">Q6/$Q$53</f>
        <v>0.68709410639974799</v>
      </c>
      <c r="X6" s="637"/>
      <c r="Y6" s="686" t="s">
        <v>1224</v>
      </c>
    </row>
    <row r="7" spans="1:25">
      <c r="A7" s="10"/>
      <c r="B7" s="15"/>
      <c r="C7" s="15"/>
      <c r="D7" s="15">
        <f t="shared" si="0"/>
        <v>0</v>
      </c>
      <c r="E7" s="15"/>
      <c r="F7" s="15"/>
      <c r="G7" s="15">
        <f t="shared" si="1"/>
        <v>0</v>
      </c>
      <c r="H7" s="15"/>
      <c r="J7" s="15">
        <f t="shared" si="2"/>
        <v>0</v>
      </c>
      <c r="K7" s="15"/>
      <c r="L7" s="15"/>
      <c r="M7" s="15">
        <f t="shared" ref="M7:M53" si="5">K7+L7</f>
        <v>0</v>
      </c>
      <c r="N7" s="15">
        <f t="shared" ref="N7:N53" si="6">D7+G7+J7+M7</f>
        <v>0</v>
      </c>
      <c r="O7" s="15"/>
      <c r="P7" s="15"/>
      <c r="Q7" s="15">
        <f t="shared" si="3"/>
        <v>0</v>
      </c>
      <c r="R7" s="15">
        <f t="shared" ref="R7:R53" si="7">Q7-D7</f>
        <v>0</v>
      </c>
      <c r="S7" s="627"/>
      <c r="T7" s="15">
        <f t="shared" si="4"/>
        <v>0</v>
      </c>
      <c r="U7" s="627"/>
      <c r="V7" s="627">
        <f t="shared" ref="V7:V53" ca="1" si="8">Q7/$Q$53</f>
        <v>0</v>
      </c>
      <c r="Y7" s="687">
        <v>-90907491.25</v>
      </c>
    </row>
    <row r="8" spans="1:25">
      <c r="A8" s="544" t="s">
        <v>15</v>
      </c>
      <c r="B8" s="13">
        <f>B9+B10</f>
        <v>581400000</v>
      </c>
      <c r="C8" s="13"/>
      <c r="D8" s="13">
        <f t="shared" si="0"/>
        <v>581400000</v>
      </c>
      <c r="E8" s="13">
        <f>E9+E10</f>
        <v>5343000</v>
      </c>
      <c r="F8" s="13"/>
      <c r="G8" s="13">
        <f t="shared" si="1"/>
        <v>5343000</v>
      </c>
      <c r="H8" s="13">
        <f>H9+H10</f>
        <v>13500000</v>
      </c>
      <c r="J8" s="13">
        <f t="shared" si="2"/>
        <v>13500000</v>
      </c>
      <c r="K8" s="13">
        <f>K9+K10</f>
        <v>11000000</v>
      </c>
      <c r="L8" s="13"/>
      <c r="M8" s="13">
        <f t="shared" si="5"/>
        <v>11000000</v>
      </c>
      <c r="N8" s="13">
        <f t="shared" si="6"/>
        <v>611243000</v>
      </c>
      <c r="O8" s="13">
        <f>O9+O10</f>
        <v>650100000</v>
      </c>
      <c r="P8" s="13"/>
      <c r="Q8" s="13">
        <f t="shared" si="3"/>
        <v>650100000</v>
      </c>
      <c r="R8" s="13">
        <f t="shared" si="7"/>
        <v>68700000</v>
      </c>
      <c r="S8" s="632">
        <f t="shared" ref="S8:S53" si="9">R8/D8</f>
        <v>0.11816305469556243</v>
      </c>
      <c r="T8" s="13">
        <f t="shared" si="4"/>
        <v>38857000</v>
      </c>
      <c r="U8" s="632">
        <f>T8/N8</f>
        <v>6.3570462156621835E-2</v>
      </c>
      <c r="V8" s="632">
        <f t="shared" ca="1" si="8"/>
        <v>0.67243722969647313</v>
      </c>
      <c r="Y8" s="688">
        <v>-40419918.990000002</v>
      </c>
    </row>
    <row r="9" spans="1:25">
      <c r="A9" s="545" t="s">
        <v>26</v>
      </c>
      <c r="B9" s="18">
        <v>556000000</v>
      </c>
      <c r="C9" s="18"/>
      <c r="D9" s="18">
        <f t="shared" si="0"/>
        <v>556000000</v>
      </c>
      <c r="E9" s="18">
        <v>5343000</v>
      </c>
      <c r="F9" s="18"/>
      <c r="G9" s="18">
        <v>5343000</v>
      </c>
      <c r="H9" s="18">
        <v>13500000</v>
      </c>
      <c r="J9" s="18">
        <f t="shared" si="2"/>
        <v>13500000</v>
      </c>
      <c r="K9" s="18">
        <f>'2.1 LK TULUD'!E7</f>
        <v>11000000</v>
      </c>
      <c r="L9" s="18"/>
      <c r="M9" s="18">
        <f t="shared" si="5"/>
        <v>11000000</v>
      </c>
      <c r="N9" s="18">
        <f t="shared" si="6"/>
        <v>585843000</v>
      </c>
      <c r="O9" s="18">
        <f>'2.1 LK TULUD'!G7</f>
        <v>624700000</v>
      </c>
      <c r="P9" s="18"/>
      <c r="Q9" s="18">
        <f t="shared" si="3"/>
        <v>624700000</v>
      </c>
      <c r="R9" s="18">
        <f t="shared" si="7"/>
        <v>68700000</v>
      </c>
      <c r="S9" s="635">
        <f t="shared" si="9"/>
        <v>0.12356115107913669</v>
      </c>
      <c r="T9" s="18">
        <f t="shared" si="4"/>
        <v>38857000</v>
      </c>
      <c r="U9" s="635">
        <f>T9/N9</f>
        <v>6.6326643827783208E-2</v>
      </c>
      <c r="V9" s="635">
        <f t="shared" ca="1" si="8"/>
        <v>0.64616449375694007</v>
      </c>
      <c r="Y9" s="688">
        <v>-40846185.880000003</v>
      </c>
    </row>
    <row r="10" spans="1:25">
      <c r="A10" s="545" t="s">
        <v>27</v>
      </c>
      <c r="B10" s="18">
        <v>25400000</v>
      </c>
      <c r="C10" s="18"/>
      <c r="D10" s="18">
        <f t="shared" si="0"/>
        <v>25400000</v>
      </c>
      <c r="E10" s="18"/>
      <c r="F10" s="18"/>
      <c r="G10" s="18">
        <f t="shared" si="1"/>
        <v>0</v>
      </c>
      <c r="H10" s="18"/>
      <c r="J10" s="18">
        <f t="shared" si="2"/>
        <v>0</v>
      </c>
      <c r="K10" s="18">
        <f>'2.1 LK TULUD'!E10</f>
        <v>0</v>
      </c>
      <c r="L10" s="18"/>
      <c r="M10" s="18">
        <f t="shared" si="5"/>
        <v>0</v>
      </c>
      <c r="N10" s="18">
        <f t="shared" si="6"/>
        <v>25400000</v>
      </c>
      <c r="O10" s="18">
        <f>'2.1 LK TULUD'!G10</f>
        <v>25400000</v>
      </c>
      <c r="P10" s="18"/>
      <c r="Q10" s="18">
        <f t="shared" si="3"/>
        <v>25400000</v>
      </c>
      <c r="R10" s="18">
        <f t="shared" si="7"/>
        <v>0</v>
      </c>
      <c r="S10" s="635">
        <f t="shared" si="9"/>
        <v>0</v>
      </c>
      <c r="T10" s="18">
        <f t="shared" si="4"/>
        <v>0</v>
      </c>
      <c r="U10" s="635">
        <f>T10/N10</f>
        <v>0</v>
      </c>
      <c r="V10" s="635">
        <f t="shared" ca="1" si="8"/>
        <v>2.6272735939533023E-2</v>
      </c>
      <c r="Y10" s="688">
        <v>-40921349.030000001</v>
      </c>
    </row>
    <row r="11" spans="1:25">
      <c r="A11" s="31"/>
      <c r="B11" s="18"/>
      <c r="C11" s="18"/>
      <c r="D11" s="18">
        <f t="shared" si="0"/>
        <v>0</v>
      </c>
      <c r="E11" s="18"/>
      <c r="F11" s="18"/>
      <c r="G11" s="18">
        <f t="shared" si="1"/>
        <v>0</v>
      </c>
      <c r="H11" s="18"/>
      <c r="J11" s="18">
        <f t="shared" si="2"/>
        <v>0</v>
      </c>
      <c r="K11" s="18"/>
      <c r="L11" s="18"/>
      <c r="M11" s="18">
        <f t="shared" si="5"/>
        <v>0</v>
      </c>
      <c r="N11" s="18">
        <f t="shared" si="6"/>
        <v>0</v>
      </c>
      <c r="O11" s="18"/>
      <c r="P11" s="18"/>
      <c r="Q11" s="18">
        <f t="shared" si="3"/>
        <v>0</v>
      </c>
      <c r="R11" s="18">
        <f t="shared" si="7"/>
        <v>0</v>
      </c>
      <c r="S11" s="635"/>
      <c r="T11" s="18">
        <f t="shared" si="4"/>
        <v>0</v>
      </c>
      <c r="U11" s="635"/>
      <c r="V11" s="635">
        <f t="shared" ca="1" si="8"/>
        <v>0</v>
      </c>
      <c r="Y11" s="688">
        <v>75163.149999999994</v>
      </c>
    </row>
    <row r="12" spans="1:25">
      <c r="A12" s="544" t="s">
        <v>16</v>
      </c>
      <c r="B12" s="13">
        <f>SUM(B13:B15)</f>
        <v>11970000</v>
      </c>
      <c r="C12" s="13"/>
      <c r="D12" s="13">
        <f t="shared" si="0"/>
        <v>11970000</v>
      </c>
      <c r="E12" s="13"/>
      <c r="F12" s="13"/>
      <c r="G12" s="13">
        <f t="shared" si="1"/>
        <v>0</v>
      </c>
      <c r="H12" s="13">
        <f>SUM(H13:H15)</f>
        <v>1100000</v>
      </c>
      <c r="J12" s="13">
        <f t="shared" si="2"/>
        <v>1100000</v>
      </c>
      <c r="K12" s="13">
        <f>SUM(K13:K15)</f>
        <v>1000000</v>
      </c>
      <c r="L12" s="13"/>
      <c r="M12" s="13">
        <f t="shared" si="5"/>
        <v>1000000</v>
      </c>
      <c r="N12" s="13">
        <f t="shared" si="6"/>
        <v>14070000</v>
      </c>
      <c r="O12" s="13">
        <f>SUM(O13:O15)</f>
        <v>14170000</v>
      </c>
      <c r="P12" s="13"/>
      <c r="Q12" s="13">
        <f t="shared" si="3"/>
        <v>14170000</v>
      </c>
      <c r="R12" s="13">
        <f t="shared" si="7"/>
        <v>2200000</v>
      </c>
      <c r="S12" s="632">
        <f t="shared" si="9"/>
        <v>0.18379281537176273</v>
      </c>
      <c r="T12" s="13">
        <f t="shared" si="4"/>
        <v>100000</v>
      </c>
      <c r="U12" s="632">
        <f>T12/N12</f>
        <v>7.1073205401563609E-3</v>
      </c>
      <c r="V12" s="632">
        <f t="shared" ca="1" si="8"/>
        <v>1.4656876703274918E-2</v>
      </c>
      <c r="Y12" s="688">
        <v>426266.89</v>
      </c>
    </row>
    <row r="13" spans="1:25">
      <c r="A13" s="545" t="s">
        <v>28</v>
      </c>
      <c r="B13" s="18">
        <v>5000000</v>
      </c>
      <c r="C13" s="18"/>
      <c r="D13" s="18">
        <f t="shared" si="0"/>
        <v>5000000</v>
      </c>
      <c r="E13" s="18"/>
      <c r="F13" s="18"/>
      <c r="G13" s="18">
        <v>0</v>
      </c>
      <c r="H13" s="18">
        <v>100000</v>
      </c>
      <c r="J13" s="18">
        <f t="shared" si="2"/>
        <v>100000</v>
      </c>
      <c r="K13" s="18">
        <f>'2.1 LK TULUD'!E14</f>
        <v>400000</v>
      </c>
      <c r="L13" s="18"/>
      <c r="M13" s="18">
        <f t="shared" si="5"/>
        <v>400000</v>
      </c>
      <c r="N13" s="18">
        <f t="shared" si="6"/>
        <v>5500000</v>
      </c>
      <c r="O13" s="18">
        <f>'2.1 LK TULUD'!G14</f>
        <v>5500000</v>
      </c>
      <c r="P13" s="18"/>
      <c r="Q13" s="18">
        <f t="shared" si="3"/>
        <v>5500000</v>
      </c>
      <c r="R13" s="18">
        <f t="shared" si="7"/>
        <v>500000</v>
      </c>
      <c r="S13" s="635">
        <f t="shared" si="9"/>
        <v>0.1</v>
      </c>
      <c r="T13" s="18">
        <f t="shared" si="4"/>
        <v>0</v>
      </c>
      <c r="U13" s="635">
        <f>T13/N13</f>
        <v>0</v>
      </c>
      <c r="V13" s="635">
        <f t="shared" ca="1" si="8"/>
        <v>5.688978254623292E-3</v>
      </c>
      <c r="Y13" s="688">
        <v>622363.25</v>
      </c>
    </row>
    <row r="14" spans="1:25">
      <c r="A14" s="545" t="s">
        <v>65</v>
      </c>
      <c r="B14" s="18">
        <v>1470000</v>
      </c>
      <c r="C14" s="18"/>
      <c r="D14" s="18">
        <f t="shared" si="0"/>
        <v>1470000</v>
      </c>
      <c r="E14" s="18"/>
      <c r="F14" s="18"/>
      <c r="G14" s="18">
        <v>0</v>
      </c>
      <c r="H14" s="18">
        <v>0</v>
      </c>
      <c r="J14" s="18">
        <f t="shared" si="2"/>
        <v>0</v>
      </c>
      <c r="K14" s="18">
        <f>'2.1 LK TULUD'!E17</f>
        <v>400000</v>
      </c>
      <c r="L14" s="18"/>
      <c r="M14" s="18">
        <f t="shared" si="5"/>
        <v>400000</v>
      </c>
      <c r="N14" s="18">
        <f t="shared" si="6"/>
        <v>1870000</v>
      </c>
      <c r="O14" s="18">
        <f>'2.1 LK TULUD'!G17</f>
        <v>1870000</v>
      </c>
      <c r="P14" s="18"/>
      <c r="Q14" s="18">
        <f t="shared" si="3"/>
        <v>1870000</v>
      </c>
      <c r="R14" s="18">
        <f t="shared" si="7"/>
        <v>400000</v>
      </c>
      <c r="S14" s="635">
        <f t="shared" si="9"/>
        <v>0.27210884353741499</v>
      </c>
      <c r="T14" s="18">
        <f t="shared" si="4"/>
        <v>0</v>
      </c>
      <c r="U14" s="635">
        <f>T14/N14</f>
        <v>0</v>
      </c>
      <c r="V14" s="635">
        <f t="shared" ca="1" si="8"/>
        <v>1.9342526065719192E-3</v>
      </c>
      <c r="Y14" s="688">
        <v>355048.17</v>
      </c>
    </row>
    <row r="15" spans="1:25">
      <c r="A15" s="545" t="s">
        <v>29</v>
      </c>
      <c r="B15" s="18">
        <v>5500000</v>
      </c>
      <c r="C15" s="18"/>
      <c r="D15" s="18">
        <f t="shared" si="0"/>
        <v>5500000</v>
      </c>
      <c r="E15" s="18"/>
      <c r="F15" s="18"/>
      <c r="G15" s="18">
        <v>0</v>
      </c>
      <c r="H15" s="18">
        <v>1000000</v>
      </c>
      <c r="J15" s="18">
        <f t="shared" si="2"/>
        <v>1000000</v>
      </c>
      <c r="K15" s="18">
        <f>'2.1 LK TULUD'!E20</f>
        <v>200000</v>
      </c>
      <c r="L15" s="18"/>
      <c r="M15" s="18">
        <f t="shared" si="5"/>
        <v>200000</v>
      </c>
      <c r="N15" s="18">
        <f t="shared" si="6"/>
        <v>6700000</v>
      </c>
      <c r="O15" s="18">
        <f>'2.1 LK TULUD'!G20</f>
        <v>6800000</v>
      </c>
      <c r="P15" s="18"/>
      <c r="Q15" s="18">
        <f t="shared" si="3"/>
        <v>6800000</v>
      </c>
      <c r="R15" s="18">
        <f t="shared" si="7"/>
        <v>1300000</v>
      </c>
      <c r="S15" s="635">
        <f t="shared" si="9"/>
        <v>0.23636363636363636</v>
      </c>
      <c r="T15" s="18">
        <f t="shared" si="4"/>
        <v>100000</v>
      </c>
      <c r="U15" s="635">
        <f>T15/N15</f>
        <v>1.4925373134328358E-2</v>
      </c>
      <c r="V15" s="635">
        <f t="shared" ca="1" si="8"/>
        <v>7.0336458420797061E-3</v>
      </c>
      <c r="Y15" s="688">
        <v>-551144.53</v>
      </c>
    </row>
    <row r="16" spans="1:25">
      <c r="A16" s="546"/>
      <c r="B16" s="18"/>
      <c r="C16" s="18"/>
      <c r="D16" s="18">
        <f t="shared" si="0"/>
        <v>0</v>
      </c>
      <c r="E16" s="18"/>
      <c r="F16" s="18"/>
      <c r="G16" s="18">
        <f t="shared" si="1"/>
        <v>0</v>
      </c>
      <c r="H16" s="18"/>
      <c r="J16" s="18">
        <f t="shared" si="2"/>
        <v>0</v>
      </c>
      <c r="K16" s="18"/>
      <c r="L16" s="18"/>
      <c r="M16" s="18">
        <f t="shared" si="5"/>
        <v>0</v>
      </c>
      <c r="N16" s="18">
        <f t="shared" si="6"/>
        <v>0</v>
      </c>
      <c r="O16" s="18"/>
      <c r="P16" s="18"/>
      <c r="Q16" s="18">
        <f t="shared" si="3"/>
        <v>0</v>
      </c>
      <c r="R16" s="18">
        <f t="shared" si="7"/>
        <v>0</v>
      </c>
      <c r="S16" s="635"/>
      <c r="T16" s="18">
        <f t="shared" si="4"/>
        <v>0</v>
      </c>
      <c r="U16" s="635"/>
      <c r="V16" s="635">
        <f t="shared" ca="1" si="8"/>
        <v>0</v>
      </c>
      <c r="Y16" s="688">
        <v>0</v>
      </c>
    </row>
    <row r="17" spans="1:25">
      <c r="A17" s="14" t="s">
        <v>17</v>
      </c>
      <c r="B17" s="13">
        <v>493024</v>
      </c>
      <c r="C17" s="13"/>
      <c r="D17" s="13">
        <f t="shared" si="0"/>
        <v>493024</v>
      </c>
      <c r="E17" s="13"/>
      <c r="F17" s="13"/>
      <c r="G17" s="13">
        <f t="shared" si="1"/>
        <v>0</v>
      </c>
      <c r="H17" s="13"/>
      <c r="J17" s="13">
        <f t="shared" si="2"/>
        <v>0</v>
      </c>
      <c r="K17" s="13">
        <f>'2.1 LK TULUD'!E23</f>
        <v>50000</v>
      </c>
      <c r="L17" s="13"/>
      <c r="M17" s="13">
        <f t="shared" si="5"/>
        <v>50000</v>
      </c>
      <c r="N17" s="13">
        <f t="shared" si="6"/>
        <v>543024</v>
      </c>
      <c r="O17" s="13">
        <f>'2.1 LK TULUD'!G23</f>
        <v>513024</v>
      </c>
      <c r="P17" s="13"/>
      <c r="Q17" s="13">
        <f t="shared" si="3"/>
        <v>513024</v>
      </c>
      <c r="R17" s="13">
        <f t="shared" si="7"/>
        <v>20000</v>
      </c>
      <c r="S17" s="632">
        <f t="shared" si="9"/>
        <v>4.0565976504186411E-2</v>
      </c>
      <c r="T17" s="13">
        <f t="shared" si="4"/>
        <v>-30000</v>
      </c>
      <c r="U17" s="632">
        <f>T17/N17</f>
        <v>-5.5246176964554056E-2</v>
      </c>
      <c r="V17" s="632">
        <f t="shared" ca="1" si="8"/>
        <v>5.3065134183633814E-4</v>
      </c>
      <c r="Y17" s="688">
        <v>-58323.69</v>
      </c>
    </row>
    <row r="18" spans="1:25">
      <c r="A18" s="79"/>
      <c r="B18" s="18"/>
      <c r="C18" s="18"/>
      <c r="D18" s="18">
        <f t="shared" si="0"/>
        <v>0</v>
      </c>
      <c r="E18" s="18"/>
      <c r="F18" s="18"/>
      <c r="G18" s="18">
        <f t="shared" si="1"/>
        <v>0</v>
      </c>
      <c r="H18" s="18"/>
      <c r="J18" s="18">
        <f t="shared" si="2"/>
        <v>0</v>
      </c>
      <c r="K18" s="18"/>
      <c r="L18" s="18"/>
      <c r="M18" s="18">
        <f t="shared" si="5"/>
        <v>0</v>
      </c>
      <c r="N18" s="18">
        <f t="shared" si="6"/>
        <v>0</v>
      </c>
      <c r="O18" s="18"/>
      <c r="P18" s="18"/>
      <c r="Q18" s="18">
        <f t="shared" si="3"/>
        <v>0</v>
      </c>
      <c r="R18" s="18">
        <f t="shared" si="7"/>
        <v>0</v>
      </c>
      <c r="S18" s="635"/>
      <c r="T18" s="18">
        <f t="shared" si="4"/>
        <v>0</v>
      </c>
      <c r="U18" s="635"/>
      <c r="V18" s="635">
        <f t="shared" ca="1" si="8"/>
        <v>0</v>
      </c>
      <c r="Y18" s="688">
        <v>-18343207.57</v>
      </c>
    </row>
    <row r="19" spans="1:25">
      <c r="A19" s="14" t="s">
        <v>1068</v>
      </c>
      <c r="B19" s="13">
        <f>SUM(B20:B23)</f>
        <v>852000</v>
      </c>
      <c r="C19" s="13">
        <f>SUM(C20:C23)</f>
        <v>89285039</v>
      </c>
      <c r="D19" s="13">
        <f t="shared" si="0"/>
        <v>90137039</v>
      </c>
      <c r="E19" s="13"/>
      <c r="F19" s="13"/>
      <c r="G19" s="13">
        <f t="shared" si="1"/>
        <v>0</v>
      </c>
      <c r="H19" s="13">
        <f>SUM(H20:H23)</f>
        <v>0</v>
      </c>
      <c r="I19" s="13">
        <f>SUM(I20:I23)</f>
        <v>4830204</v>
      </c>
      <c r="J19" s="13">
        <f t="shared" si="2"/>
        <v>4830204</v>
      </c>
      <c r="K19" s="13">
        <f>SUM(K20:K23)</f>
        <v>0</v>
      </c>
      <c r="L19" s="13">
        <f ca="1">SUM(L20:L23)</f>
        <v>4949964</v>
      </c>
      <c r="M19" s="13">
        <f t="shared" ca="1" si="5"/>
        <v>4949964</v>
      </c>
      <c r="N19" s="13">
        <f t="shared" ca="1" si="6"/>
        <v>99917207</v>
      </c>
      <c r="O19" s="13">
        <f>SUM(O20:O23)</f>
        <v>752000</v>
      </c>
      <c r="P19" s="13">
        <f ca="1">SUM(P20:P23)</f>
        <v>95986036</v>
      </c>
      <c r="Q19" s="13">
        <f t="shared" ca="1" si="3"/>
        <v>96738036</v>
      </c>
      <c r="R19" s="13">
        <f t="shared" ca="1" si="7"/>
        <v>6600997</v>
      </c>
      <c r="S19" s="632">
        <f t="shared" ca="1" si="9"/>
        <v>7.3232902625079574E-2</v>
      </c>
      <c r="T19" s="13">
        <f t="shared" ca="1" si="4"/>
        <v>-3179171</v>
      </c>
      <c r="U19" s="632">
        <f ca="1">T19/N19</f>
        <v>-3.1818053120720238E-2</v>
      </c>
      <c r="V19" s="632">
        <f t="shared" ca="1" si="8"/>
        <v>0.10006192421799368</v>
      </c>
      <c r="Y19" s="688">
        <v>-15876484</v>
      </c>
    </row>
    <row r="20" spans="1:25">
      <c r="A20" s="198" t="s">
        <v>11</v>
      </c>
      <c r="B20" s="18"/>
      <c r="C20" s="18">
        <v>71281297</v>
      </c>
      <c r="D20" s="18">
        <f t="shared" si="0"/>
        <v>71281297</v>
      </c>
      <c r="E20" s="18"/>
      <c r="F20" s="18"/>
      <c r="G20" s="18">
        <f t="shared" si="1"/>
        <v>0</v>
      </c>
      <c r="H20" s="18"/>
      <c r="I20" s="18">
        <v>4072970</v>
      </c>
      <c r="J20" s="18">
        <f t="shared" si="2"/>
        <v>4072970</v>
      </c>
      <c r="K20" s="18"/>
      <c r="L20" s="18">
        <f ca="1">Sheet2!E1</f>
        <v>4171802</v>
      </c>
      <c r="M20" s="18">
        <f t="shared" ca="1" si="5"/>
        <v>4171802</v>
      </c>
      <c r="N20" s="18">
        <f t="shared" ca="1" si="6"/>
        <v>79526069</v>
      </c>
      <c r="O20" s="18"/>
      <c r="P20" s="18">
        <f ca="1">Sheet2!G1</f>
        <v>74860630</v>
      </c>
      <c r="Q20" s="18">
        <f t="shared" ca="1" si="3"/>
        <v>74860630</v>
      </c>
      <c r="R20" s="18">
        <f t="shared" ca="1" si="7"/>
        <v>3579333</v>
      </c>
      <c r="S20" s="635">
        <f t="shared" ca="1" si="9"/>
        <v>5.021419573776835E-2</v>
      </c>
      <c r="T20" s="18">
        <f t="shared" ca="1" si="4"/>
        <v>-4665439</v>
      </c>
      <c r="U20" s="635">
        <f ca="1">T20/N20</f>
        <v>-5.8665530167221015E-2</v>
      </c>
      <c r="V20" s="635">
        <f t="shared" ca="1" si="8"/>
        <v>7.7432817490436373E-2</v>
      </c>
      <c r="Y20" s="688">
        <v>-1809200.58</v>
      </c>
    </row>
    <row r="21" spans="1:25">
      <c r="A21" s="198" t="s">
        <v>51</v>
      </c>
      <c r="B21" s="18"/>
      <c r="C21" s="18">
        <v>12712734</v>
      </c>
      <c r="D21" s="18">
        <f t="shared" si="0"/>
        <v>12712734</v>
      </c>
      <c r="E21" s="18"/>
      <c r="F21" s="18"/>
      <c r="G21" s="18">
        <f t="shared" si="1"/>
        <v>0</v>
      </c>
      <c r="H21" s="18"/>
      <c r="I21" s="18">
        <v>539909</v>
      </c>
      <c r="J21" s="18">
        <f t="shared" si="2"/>
        <v>539909</v>
      </c>
      <c r="K21" s="18"/>
      <c r="L21" s="18">
        <f ca="1">Sheet2!E15</f>
        <v>875067</v>
      </c>
      <c r="M21" s="18">
        <f t="shared" ca="1" si="5"/>
        <v>875067</v>
      </c>
      <c r="N21" s="18">
        <f t="shared" ca="1" si="6"/>
        <v>14127710</v>
      </c>
      <c r="O21" s="18"/>
      <c r="P21" s="18">
        <f ca="1">Sheet2!G15</f>
        <v>15499025</v>
      </c>
      <c r="Q21" s="18">
        <f t="shared" ca="1" si="3"/>
        <v>15499025</v>
      </c>
      <c r="R21" s="18">
        <f t="shared" ca="1" si="7"/>
        <v>2786291</v>
      </c>
      <c r="S21" s="635">
        <f t="shared" ca="1" si="9"/>
        <v>0.21917323213086973</v>
      </c>
      <c r="T21" s="18">
        <f t="shared" ca="1" si="4"/>
        <v>1371315</v>
      </c>
      <c r="U21" s="635">
        <f ca="1">T21/N21</f>
        <v>9.706562493142909E-2</v>
      </c>
      <c r="V21" s="635">
        <f t="shared" ca="1" si="8"/>
        <v>1.6031566580520504E-2</v>
      </c>
      <c r="Y21" s="688">
        <v>-532799.41</v>
      </c>
    </row>
    <row r="22" spans="1:25">
      <c r="A22" s="198" t="s">
        <v>58</v>
      </c>
      <c r="B22" s="18">
        <v>852000</v>
      </c>
      <c r="C22" s="18">
        <v>2135578</v>
      </c>
      <c r="D22" s="18">
        <f t="shared" si="0"/>
        <v>2987578</v>
      </c>
      <c r="E22" s="18"/>
      <c r="F22" s="18"/>
      <c r="G22" s="18">
        <f t="shared" si="1"/>
        <v>0</v>
      </c>
      <c r="H22" s="18"/>
      <c r="I22" s="18">
        <v>-66135</v>
      </c>
      <c r="J22" s="18">
        <f t="shared" si="2"/>
        <v>-66135</v>
      </c>
      <c r="K22" s="18">
        <f>'2.1 LK TULUD'!E29</f>
        <v>0</v>
      </c>
      <c r="L22" s="18">
        <f ca="1">Sheet2!E14</f>
        <v>-426960</v>
      </c>
      <c r="M22" s="18">
        <f t="shared" ca="1" si="5"/>
        <v>-426960</v>
      </c>
      <c r="N22" s="18">
        <f t="shared" ca="1" si="6"/>
        <v>2494483</v>
      </c>
      <c r="O22" s="18">
        <f>'2.1 LK TULUD'!G29</f>
        <v>752000</v>
      </c>
      <c r="P22" s="18">
        <f ca="1">Sheet2!G14</f>
        <v>2191110</v>
      </c>
      <c r="Q22" s="18">
        <f t="shared" ca="1" si="3"/>
        <v>2943110</v>
      </c>
      <c r="R22" s="18">
        <f t="shared" ca="1" si="7"/>
        <v>-44468</v>
      </c>
      <c r="S22" s="635">
        <f t="shared" ca="1" si="9"/>
        <v>-1.4884297581519211E-2</v>
      </c>
      <c r="T22" s="18">
        <f t="shared" ca="1" si="4"/>
        <v>448627</v>
      </c>
      <c r="U22" s="635">
        <f ca="1">T22/N22</f>
        <v>0.1798476878776083</v>
      </c>
      <c r="V22" s="635">
        <f t="shared" ca="1" si="8"/>
        <v>3.0442343256298831E-3</v>
      </c>
      <c r="Y22" s="688">
        <v>-124723.58</v>
      </c>
    </row>
    <row r="23" spans="1:25">
      <c r="A23" s="198" t="s">
        <v>52</v>
      </c>
      <c r="B23" s="18"/>
      <c r="C23" s="18">
        <v>3155430</v>
      </c>
      <c r="D23" s="18">
        <f t="shared" si="0"/>
        <v>3155430</v>
      </c>
      <c r="E23" s="18"/>
      <c r="F23" s="18"/>
      <c r="G23" s="18">
        <f t="shared" si="1"/>
        <v>0</v>
      </c>
      <c r="H23" s="18"/>
      <c r="I23" s="18">
        <v>283460</v>
      </c>
      <c r="J23" s="18">
        <f t="shared" si="2"/>
        <v>283460</v>
      </c>
      <c r="K23" s="18"/>
      <c r="L23" s="18">
        <f ca="1">Sheet2!E13</f>
        <v>330055</v>
      </c>
      <c r="M23" s="18">
        <f t="shared" ca="1" si="5"/>
        <v>330055</v>
      </c>
      <c r="N23" s="18">
        <f t="shared" ca="1" si="6"/>
        <v>3768945</v>
      </c>
      <c r="O23" s="18"/>
      <c r="P23" s="18">
        <f ca="1">Sheet2!G13</f>
        <v>3435271</v>
      </c>
      <c r="Q23" s="18">
        <f t="shared" ca="1" si="3"/>
        <v>3435271</v>
      </c>
      <c r="R23" s="18">
        <f t="shared" ca="1" si="7"/>
        <v>279841</v>
      </c>
      <c r="S23" s="635">
        <f t="shared" ca="1" si="9"/>
        <v>8.8685535727301826E-2</v>
      </c>
      <c r="T23" s="18">
        <f t="shared" ca="1" si="4"/>
        <v>-333674</v>
      </c>
      <c r="U23" s="635">
        <f ca="1">T23/N23</f>
        <v>-8.8532467308490834E-2</v>
      </c>
      <c r="V23" s="635">
        <f t="shared" ca="1" si="8"/>
        <v>3.5533058214069109E-3</v>
      </c>
      <c r="Y23" s="688">
        <v>295954.87</v>
      </c>
    </row>
    <row r="24" spans="1:25">
      <c r="A24" s="10"/>
      <c r="B24" s="18"/>
      <c r="C24" s="18"/>
      <c r="D24" s="18">
        <f t="shared" si="0"/>
        <v>0</v>
      </c>
      <c r="E24" s="18"/>
      <c r="F24" s="18"/>
      <c r="G24" s="18">
        <f t="shared" si="1"/>
        <v>0</v>
      </c>
      <c r="H24" s="18"/>
      <c r="I24" s="18"/>
      <c r="J24" s="18">
        <f t="shared" si="2"/>
        <v>0</v>
      </c>
      <c r="K24" s="18"/>
      <c r="L24" s="18"/>
      <c r="M24" s="18">
        <f t="shared" si="5"/>
        <v>0</v>
      </c>
      <c r="N24" s="18">
        <f t="shared" si="6"/>
        <v>0</v>
      </c>
      <c r="O24" s="18"/>
      <c r="P24" s="18"/>
      <c r="Q24" s="18">
        <f t="shared" si="3"/>
        <v>0</v>
      </c>
      <c r="R24" s="18">
        <f t="shared" si="7"/>
        <v>0</v>
      </c>
      <c r="S24" s="635"/>
      <c r="T24" s="18">
        <f t="shared" si="4"/>
        <v>0</v>
      </c>
      <c r="U24" s="635"/>
      <c r="V24" s="635">
        <f t="shared" ca="1" si="8"/>
        <v>0</v>
      </c>
      <c r="Y24" s="688">
        <v>35439.9</v>
      </c>
    </row>
    <row r="25" spans="1:25">
      <c r="A25" s="14" t="s">
        <v>18</v>
      </c>
      <c r="B25" s="13">
        <f>B26+B27</f>
        <v>676000</v>
      </c>
      <c r="C25" s="13">
        <f>C26+C27</f>
        <v>170000</v>
      </c>
      <c r="D25" s="13">
        <f t="shared" si="0"/>
        <v>846000</v>
      </c>
      <c r="E25" s="13"/>
      <c r="F25" s="13"/>
      <c r="G25" s="13">
        <f t="shared" si="1"/>
        <v>0</v>
      </c>
      <c r="H25" s="13">
        <f>H26+H27</f>
        <v>426308</v>
      </c>
      <c r="I25" s="13">
        <f>I26+I27</f>
        <v>12041</v>
      </c>
      <c r="J25" s="13">
        <f t="shared" si="2"/>
        <v>438349</v>
      </c>
      <c r="K25" s="13">
        <f>K26+K27</f>
        <v>140005</v>
      </c>
      <c r="L25" s="13">
        <f ca="1">L27+L26</f>
        <v>10000</v>
      </c>
      <c r="M25" s="13">
        <f t="shared" ca="1" si="5"/>
        <v>150005</v>
      </c>
      <c r="N25" s="13">
        <f t="shared" ca="1" si="6"/>
        <v>1434354</v>
      </c>
      <c r="O25" s="13">
        <f>O26+O27</f>
        <v>740000</v>
      </c>
      <c r="P25" s="13">
        <f ca="1">P27+P26</f>
        <v>170000</v>
      </c>
      <c r="Q25" s="13">
        <f t="shared" ca="1" si="3"/>
        <v>910000</v>
      </c>
      <c r="R25" s="13">
        <f t="shared" ca="1" si="7"/>
        <v>64000</v>
      </c>
      <c r="S25" s="632">
        <f t="shared" ca="1" si="9"/>
        <v>7.5650118203309691E-2</v>
      </c>
      <c r="T25" s="13">
        <f t="shared" ca="1" si="4"/>
        <v>-524354</v>
      </c>
      <c r="U25" s="632">
        <f ca="1">T25/N25</f>
        <v>-0.36556805363250633</v>
      </c>
      <c r="V25" s="632">
        <f t="shared" ca="1" si="8"/>
        <v>9.4126731121949015E-4</v>
      </c>
      <c r="Y25" s="688">
        <v>260514.97</v>
      </c>
    </row>
    <row r="26" spans="1:25">
      <c r="A26" s="198" t="s">
        <v>30</v>
      </c>
      <c r="B26" s="18">
        <v>636000</v>
      </c>
      <c r="C26" s="18"/>
      <c r="D26" s="18">
        <f t="shared" si="0"/>
        <v>636000</v>
      </c>
      <c r="E26" s="18"/>
      <c r="F26" s="18"/>
      <c r="G26" s="18">
        <f t="shared" si="1"/>
        <v>0</v>
      </c>
      <c r="H26" s="18">
        <v>200</v>
      </c>
      <c r="I26" s="18"/>
      <c r="J26" s="18">
        <f t="shared" si="2"/>
        <v>200</v>
      </c>
      <c r="K26" s="18">
        <f>'2.1 LK TULUD'!E37</f>
        <v>-200</v>
      </c>
      <c r="L26" s="18"/>
      <c r="M26" s="18">
        <f t="shared" si="5"/>
        <v>-200</v>
      </c>
      <c r="N26" s="18">
        <f t="shared" si="6"/>
        <v>636000</v>
      </c>
      <c r="O26" s="18">
        <f>'2.1 LK TULUD'!G37</f>
        <v>700000</v>
      </c>
      <c r="P26" s="18"/>
      <c r="Q26" s="18">
        <f t="shared" si="3"/>
        <v>700000</v>
      </c>
      <c r="R26" s="18">
        <f t="shared" si="7"/>
        <v>64000</v>
      </c>
      <c r="S26" s="635">
        <f t="shared" si="9"/>
        <v>0.10062893081761007</v>
      </c>
      <c r="T26" s="18">
        <f t="shared" si="4"/>
        <v>64000</v>
      </c>
      <c r="U26" s="635">
        <f>T26/N26</f>
        <v>0.10062893081761007</v>
      </c>
      <c r="V26" s="635">
        <f t="shared" ca="1" si="8"/>
        <v>7.2405177786114623E-4</v>
      </c>
      <c r="Y26" s="688">
        <v>119432.56</v>
      </c>
    </row>
    <row r="27" spans="1:25">
      <c r="A27" s="198" t="s">
        <v>57</v>
      </c>
      <c r="B27" s="18">
        <v>40000</v>
      </c>
      <c r="C27" s="18">
        <v>170000</v>
      </c>
      <c r="D27" s="18">
        <f t="shared" si="0"/>
        <v>210000</v>
      </c>
      <c r="E27" s="18"/>
      <c r="F27" s="18"/>
      <c r="G27" s="18">
        <f t="shared" si="1"/>
        <v>0</v>
      </c>
      <c r="H27" s="18">
        <v>426108</v>
      </c>
      <c r="I27" s="18">
        <v>12041</v>
      </c>
      <c r="J27" s="18">
        <f t="shared" si="2"/>
        <v>438149</v>
      </c>
      <c r="K27" s="18">
        <f>'2.1 LK TULUD'!E42</f>
        <v>140205</v>
      </c>
      <c r="L27" s="18">
        <f ca="1">Sheet2!E12</f>
        <v>10000</v>
      </c>
      <c r="M27" s="18">
        <f t="shared" ca="1" si="5"/>
        <v>150205</v>
      </c>
      <c r="N27" s="18">
        <f t="shared" ca="1" si="6"/>
        <v>798354</v>
      </c>
      <c r="O27" s="18">
        <f>'2.1 LK TULUD'!G42</f>
        <v>40000</v>
      </c>
      <c r="P27" s="18">
        <f ca="1">Sheet2!G12</f>
        <v>170000</v>
      </c>
      <c r="Q27" s="18">
        <f t="shared" ca="1" si="3"/>
        <v>210000</v>
      </c>
      <c r="R27" s="18">
        <f t="shared" ca="1" si="7"/>
        <v>0</v>
      </c>
      <c r="S27" s="635">
        <f t="shared" ca="1" si="9"/>
        <v>0</v>
      </c>
      <c r="T27" s="18">
        <f t="shared" ca="1" si="4"/>
        <v>-588354</v>
      </c>
      <c r="U27" s="635">
        <f ca="1">T27/N27</f>
        <v>-0.73695879271601317</v>
      </c>
      <c r="V27" s="635">
        <f t="shared" ca="1" si="8"/>
        <v>2.1721553335834389E-4</v>
      </c>
      <c r="Y27" s="688">
        <v>40336.559999999998</v>
      </c>
    </row>
    <row r="28" spans="1:25">
      <c r="A28" s="10"/>
      <c r="B28" s="18"/>
      <c r="C28" s="18"/>
      <c r="D28" s="18">
        <f t="shared" si="0"/>
        <v>0</v>
      </c>
      <c r="E28" s="18"/>
      <c r="F28" s="18"/>
      <c r="G28" s="18">
        <f t="shared" si="1"/>
        <v>0</v>
      </c>
      <c r="H28" s="18"/>
      <c r="I28" s="18"/>
      <c r="J28" s="18">
        <f t="shared" si="2"/>
        <v>0</v>
      </c>
      <c r="K28" s="18"/>
      <c r="L28" s="18"/>
      <c r="M28" s="18">
        <f t="shared" si="5"/>
        <v>0</v>
      </c>
      <c r="N28" s="18">
        <f t="shared" si="6"/>
        <v>0</v>
      </c>
      <c r="O28" s="18"/>
      <c r="P28" s="18"/>
      <c r="Q28" s="18">
        <f t="shared" si="3"/>
        <v>0</v>
      </c>
      <c r="R28" s="18">
        <f t="shared" si="7"/>
        <v>0</v>
      </c>
      <c r="S28" s="635"/>
      <c r="T28" s="18">
        <f t="shared" si="4"/>
        <v>0</v>
      </c>
      <c r="U28" s="635"/>
      <c r="V28" s="635">
        <f t="shared" ca="1" si="8"/>
        <v>0</v>
      </c>
      <c r="Y28" s="688">
        <v>79096</v>
      </c>
    </row>
    <row r="29" spans="1:25">
      <c r="A29" s="14" t="s">
        <v>19</v>
      </c>
      <c r="B29" s="13">
        <f>B30+B31</f>
        <v>297000</v>
      </c>
      <c r="C29" s="13"/>
      <c r="D29" s="13">
        <f t="shared" si="0"/>
        <v>297000</v>
      </c>
      <c r="E29" s="13"/>
      <c r="F29" s="13"/>
      <c r="G29" s="13">
        <f t="shared" si="1"/>
        <v>0</v>
      </c>
      <c r="H29" s="13">
        <f>H30+H31</f>
        <v>0</v>
      </c>
      <c r="I29" s="13"/>
      <c r="J29" s="13">
        <f t="shared" si="2"/>
        <v>0</v>
      </c>
      <c r="K29" s="13">
        <f>K30+K31</f>
        <v>0</v>
      </c>
      <c r="L29" s="13"/>
      <c r="M29" s="13">
        <f t="shared" si="5"/>
        <v>0</v>
      </c>
      <c r="N29" s="13">
        <f t="shared" si="6"/>
        <v>297000</v>
      </c>
      <c r="O29" s="13">
        <f>O30+O31</f>
        <v>2750000</v>
      </c>
      <c r="P29" s="13"/>
      <c r="Q29" s="13">
        <f t="shared" si="3"/>
        <v>2750000</v>
      </c>
      <c r="R29" s="13">
        <f t="shared" si="7"/>
        <v>2453000</v>
      </c>
      <c r="S29" s="632">
        <f t="shared" si="9"/>
        <v>8.2592592592592595</v>
      </c>
      <c r="T29" s="13">
        <f t="shared" si="4"/>
        <v>2453000</v>
      </c>
      <c r="U29" s="632">
        <f>T29/N29</f>
        <v>8.2592592592592595</v>
      </c>
      <c r="V29" s="632">
        <f t="shared" ca="1" si="8"/>
        <v>2.844489127311646E-3</v>
      </c>
      <c r="Y29" s="688">
        <v>422080.01</v>
      </c>
    </row>
    <row r="30" spans="1:25">
      <c r="A30" s="198" t="s">
        <v>31</v>
      </c>
      <c r="B30" s="18">
        <v>6000</v>
      </c>
      <c r="C30" s="18"/>
      <c r="D30" s="18">
        <f t="shared" si="0"/>
        <v>6000</v>
      </c>
      <c r="E30" s="18"/>
      <c r="F30" s="18"/>
      <c r="G30" s="18">
        <f t="shared" si="1"/>
        <v>0</v>
      </c>
      <c r="H30" s="18"/>
      <c r="I30" s="18"/>
      <c r="J30" s="18">
        <f t="shared" si="2"/>
        <v>0</v>
      </c>
      <c r="K30" s="18">
        <f>'2.1 LK TULUD'!E64</f>
        <v>0</v>
      </c>
      <c r="L30" s="18"/>
      <c r="M30" s="18">
        <f t="shared" si="5"/>
        <v>0</v>
      </c>
      <c r="N30" s="18">
        <f t="shared" si="6"/>
        <v>6000</v>
      </c>
      <c r="O30" s="18">
        <f>'2.1 LK TULUD'!G64</f>
        <v>1000000</v>
      </c>
      <c r="P30" s="18"/>
      <c r="Q30" s="18">
        <f t="shared" si="3"/>
        <v>1000000</v>
      </c>
      <c r="R30" s="18">
        <f t="shared" si="7"/>
        <v>994000</v>
      </c>
      <c r="S30" s="635">
        <f t="shared" si="9"/>
        <v>165.66666666666666</v>
      </c>
      <c r="T30" s="18">
        <f t="shared" si="4"/>
        <v>994000</v>
      </c>
      <c r="U30" s="635">
        <f>T30/N30</f>
        <v>165.66666666666666</v>
      </c>
      <c r="V30" s="635">
        <f t="shared" ca="1" si="8"/>
        <v>1.0343596826587803E-3</v>
      </c>
      <c r="Y30" s="688">
        <v>755897.67</v>
      </c>
    </row>
    <row r="31" spans="1:25">
      <c r="A31" s="198" t="s">
        <v>628</v>
      </c>
      <c r="B31" s="18">
        <v>291000</v>
      </c>
      <c r="C31" s="18"/>
      <c r="D31" s="18">
        <f t="shared" si="0"/>
        <v>291000</v>
      </c>
      <c r="E31" s="18"/>
      <c r="F31" s="18"/>
      <c r="G31" s="18">
        <f t="shared" si="1"/>
        <v>0</v>
      </c>
      <c r="H31" s="18"/>
      <c r="I31" s="18"/>
      <c r="J31" s="18">
        <f t="shared" si="2"/>
        <v>0</v>
      </c>
      <c r="K31" s="18">
        <f>'2.1 LK TULUD'!E65</f>
        <v>0</v>
      </c>
      <c r="L31" s="18"/>
      <c r="M31" s="18">
        <f t="shared" si="5"/>
        <v>0</v>
      </c>
      <c r="N31" s="18">
        <f t="shared" si="6"/>
        <v>291000</v>
      </c>
      <c r="O31" s="18">
        <f>'2.1 LK TULUD'!G65</f>
        <v>1750000</v>
      </c>
      <c r="P31" s="18"/>
      <c r="Q31" s="18">
        <f t="shared" si="3"/>
        <v>1750000</v>
      </c>
      <c r="R31" s="18">
        <f t="shared" si="7"/>
        <v>1459000</v>
      </c>
      <c r="S31" s="635">
        <f t="shared" si="9"/>
        <v>5.0137457044673539</v>
      </c>
      <c r="T31" s="18">
        <f t="shared" si="4"/>
        <v>1459000</v>
      </c>
      <c r="U31" s="635">
        <f>T31/N31</f>
        <v>5.0137457044673539</v>
      </c>
      <c r="V31" s="635">
        <f t="shared" ca="1" si="8"/>
        <v>1.8101294446528657E-3</v>
      </c>
      <c r="Y31" s="688">
        <v>-384023.4</v>
      </c>
    </row>
    <row r="32" spans="1:25">
      <c r="A32" s="10"/>
      <c r="B32" s="18"/>
      <c r="C32" s="18"/>
      <c r="D32" s="18">
        <f t="shared" si="0"/>
        <v>0</v>
      </c>
      <c r="E32" s="18"/>
      <c r="F32" s="18"/>
      <c r="G32" s="18">
        <f t="shared" si="1"/>
        <v>0</v>
      </c>
      <c r="H32" s="18"/>
      <c r="I32" s="18"/>
      <c r="J32" s="18">
        <f t="shared" si="2"/>
        <v>0</v>
      </c>
      <c r="K32" s="18"/>
      <c r="L32" s="18"/>
      <c r="M32" s="18">
        <f t="shared" si="5"/>
        <v>0</v>
      </c>
      <c r="N32" s="18">
        <f t="shared" si="6"/>
        <v>0</v>
      </c>
      <c r="O32" s="18"/>
      <c r="P32" s="18"/>
      <c r="Q32" s="18">
        <f t="shared" si="3"/>
        <v>0</v>
      </c>
      <c r="R32" s="18">
        <f t="shared" si="7"/>
        <v>0</v>
      </c>
      <c r="S32" s="635"/>
      <c r="T32" s="18">
        <f t="shared" si="4"/>
        <v>0</v>
      </c>
      <c r="U32" s="635"/>
      <c r="V32" s="635">
        <f t="shared" ca="1" si="8"/>
        <v>0</v>
      </c>
      <c r="Y32" s="688">
        <v>5720.83</v>
      </c>
    </row>
    <row r="33" spans="1:25">
      <c r="A33" s="14" t="s">
        <v>32</v>
      </c>
      <c r="B33" s="13">
        <f>SUM(B34:B37)</f>
        <v>474100</v>
      </c>
      <c r="C33" s="13">
        <f>C34+C35+C36+C37</f>
        <v>3500</v>
      </c>
      <c r="D33" s="13">
        <f t="shared" si="0"/>
        <v>477600</v>
      </c>
      <c r="E33" s="13"/>
      <c r="F33" s="13"/>
      <c r="G33" s="13">
        <f t="shared" si="1"/>
        <v>0</v>
      </c>
      <c r="H33" s="13">
        <f>SUM(H34:H37)</f>
        <v>361116</v>
      </c>
      <c r="I33" s="13">
        <f>I34+I35+I36+I37</f>
        <v>0</v>
      </c>
      <c r="J33" s="13">
        <f t="shared" si="2"/>
        <v>361116</v>
      </c>
      <c r="K33" s="13">
        <f>SUM(K34:K37)</f>
        <v>425500</v>
      </c>
      <c r="L33" s="13">
        <f ca="1">SUM(L34:L37)</f>
        <v>2200</v>
      </c>
      <c r="M33" s="13">
        <f t="shared" ca="1" si="5"/>
        <v>427700</v>
      </c>
      <c r="N33" s="13">
        <f t="shared" ca="1" si="6"/>
        <v>1266416</v>
      </c>
      <c r="O33" s="13">
        <f>SUM(O34:O37)</f>
        <v>536500</v>
      </c>
      <c r="P33" s="13">
        <f ca="1">SUM(P34:P37)</f>
        <v>3500</v>
      </c>
      <c r="Q33" s="13">
        <f t="shared" ca="1" si="3"/>
        <v>540000</v>
      </c>
      <c r="R33" s="13">
        <f t="shared" ca="1" si="7"/>
        <v>62400</v>
      </c>
      <c r="S33" s="632">
        <f t="shared" ca="1" si="9"/>
        <v>0.1306532663316583</v>
      </c>
      <c r="T33" s="13">
        <f t="shared" ca="1" si="4"/>
        <v>-726416</v>
      </c>
      <c r="U33" s="632">
        <f ca="1">T33/N33</f>
        <v>-0.57359982817652333</v>
      </c>
      <c r="V33" s="632">
        <f t="shared" ca="1" si="8"/>
        <v>5.5855422863574137E-4</v>
      </c>
      <c r="Y33" s="688">
        <v>44484.91</v>
      </c>
    </row>
    <row r="34" spans="1:25">
      <c r="A34" s="198" t="s">
        <v>41</v>
      </c>
      <c r="B34" s="18">
        <v>650000</v>
      </c>
      <c r="C34" s="18"/>
      <c r="D34" s="18">
        <f t="shared" si="0"/>
        <v>650000</v>
      </c>
      <c r="E34" s="18"/>
      <c r="F34" s="18"/>
      <c r="G34" s="18">
        <f t="shared" si="1"/>
        <v>0</v>
      </c>
      <c r="H34" s="18">
        <v>355116</v>
      </c>
      <c r="I34" s="18"/>
      <c r="J34" s="18">
        <f t="shared" si="2"/>
        <v>355116</v>
      </c>
      <c r="K34" s="18">
        <f>'2.1 LK TULUD'!E68</f>
        <v>618884</v>
      </c>
      <c r="L34" s="18"/>
      <c r="M34" s="18">
        <f t="shared" si="5"/>
        <v>618884</v>
      </c>
      <c r="N34" s="18">
        <f t="shared" si="6"/>
        <v>1624000</v>
      </c>
      <c r="O34" s="18">
        <f>'2.1 LK TULUD'!G68</f>
        <v>700000</v>
      </c>
      <c r="P34" s="18"/>
      <c r="Q34" s="18">
        <f t="shared" si="3"/>
        <v>700000</v>
      </c>
      <c r="R34" s="18">
        <f t="shared" si="7"/>
        <v>50000</v>
      </c>
      <c r="S34" s="635">
        <f t="shared" si="9"/>
        <v>7.6923076923076927E-2</v>
      </c>
      <c r="T34" s="18">
        <f t="shared" si="4"/>
        <v>-924000</v>
      </c>
      <c r="U34" s="635">
        <f>T34/N34</f>
        <v>-0.56896551724137934</v>
      </c>
      <c r="V34" s="635">
        <f t="shared" ca="1" si="8"/>
        <v>7.2405177786114623E-4</v>
      </c>
      <c r="Y34" s="688">
        <v>-23229.23</v>
      </c>
    </row>
    <row r="35" spans="1:25">
      <c r="A35" s="198" t="s">
        <v>1069</v>
      </c>
      <c r="B35" s="18">
        <v>54100</v>
      </c>
      <c r="C35" s="18">
        <v>3500</v>
      </c>
      <c r="D35" s="18">
        <f t="shared" si="0"/>
        <v>57600</v>
      </c>
      <c r="E35" s="18"/>
      <c r="F35" s="18"/>
      <c r="G35" s="18">
        <f t="shared" si="1"/>
        <v>0</v>
      </c>
      <c r="H35" s="18">
        <v>6000</v>
      </c>
      <c r="I35" s="18">
        <v>0</v>
      </c>
      <c r="J35" s="18">
        <f t="shared" si="2"/>
        <v>6000</v>
      </c>
      <c r="K35" s="18">
        <f>'2.1 LK TULUD'!E77+'2.1 LK TULUD'!E74</f>
        <v>6616</v>
      </c>
      <c r="L35" s="18">
        <f ca="1">Sheet2!E17</f>
        <v>2200</v>
      </c>
      <c r="M35" s="18">
        <f t="shared" ca="1" si="5"/>
        <v>8816</v>
      </c>
      <c r="N35" s="18">
        <f t="shared" ca="1" si="6"/>
        <v>72416</v>
      </c>
      <c r="O35" s="18">
        <f>'2.1 LK TULUD'!G77+'2.1 LK TULUD'!G74</f>
        <v>66500</v>
      </c>
      <c r="P35" s="18">
        <f ca="1">Sheet2!G17</f>
        <v>3500</v>
      </c>
      <c r="Q35" s="18">
        <f t="shared" ca="1" si="3"/>
        <v>70000</v>
      </c>
      <c r="R35" s="18">
        <f t="shared" ca="1" si="7"/>
        <v>12400</v>
      </c>
      <c r="S35" s="635">
        <f t="shared" ca="1" si="9"/>
        <v>0.21527777777777779</v>
      </c>
      <c r="T35" s="18">
        <f t="shared" ca="1" si="4"/>
        <v>-2416</v>
      </c>
      <c r="U35" s="635">
        <f ca="1">T35/N35</f>
        <v>-3.3362792752982769E-2</v>
      </c>
      <c r="V35" s="635">
        <f t="shared" ca="1" si="8"/>
        <v>7.2405177786114629E-5</v>
      </c>
      <c r="Y35" s="688">
        <v>-9880.56</v>
      </c>
    </row>
    <row r="36" spans="1:25">
      <c r="A36" s="198" t="s">
        <v>8</v>
      </c>
      <c r="B36" s="18">
        <v>-220000</v>
      </c>
      <c r="C36" s="18"/>
      <c r="D36" s="18">
        <f t="shared" si="0"/>
        <v>-220000</v>
      </c>
      <c r="E36" s="18"/>
      <c r="F36" s="18"/>
      <c r="G36" s="18">
        <f t="shared" si="1"/>
        <v>0</v>
      </c>
      <c r="H36" s="18">
        <v>0</v>
      </c>
      <c r="I36" s="18"/>
      <c r="J36" s="18">
        <f t="shared" si="2"/>
        <v>0</v>
      </c>
      <c r="K36" s="18">
        <f>'2.1 LK TULUD'!E72</f>
        <v>-200000</v>
      </c>
      <c r="L36" s="18"/>
      <c r="M36" s="18">
        <f t="shared" si="5"/>
        <v>-200000</v>
      </c>
      <c r="N36" s="18">
        <f t="shared" si="6"/>
        <v>-420000</v>
      </c>
      <c r="O36" s="18">
        <f>'2.1 LK TULUD'!G72</f>
        <v>-220000</v>
      </c>
      <c r="P36" s="18"/>
      <c r="Q36" s="18">
        <f t="shared" si="3"/>
        <v>-220000</v>
      </c>
      <c r="R36" s="18">
        <f t="shared" si="7"/>
        <v>0</v>
      </c>
      <c r="S36" s="635">
        <f t="shared" si="9"/>
        <v>0</v>
      </c>
      <c r="T36" s="18">
        <f t="shared" si="4"/>
        <v>200000</v>
      </c>
      <c r="U36" s="635">
        <f>T36/N36</f>
        <v>-0.47619047619047616</v>
      </c>
      <c r="V36" s="635">
        <f t="shared" ca="1" si="8"/>
        <v>-2.2755913018493169E-4</v>
      </c>
      <c r="Y36" s="688">
        <v>-13348.67</v>
      </c>
    </row>
    <row r="37" spans="1:25">
      <c r="A37" s="198" t="s">
        <v>20</v>
      </c>
      <c r="B37" s="18">
        <v>-10000</v>
      </c>
      <c r="C37" s="18"/>
      <c r="D37" s="18">
        <f t="shared" si="0"/>
        <v>-10000</v>
      </c>
      <c r="E37" s="18"/>
      <c r="F37" s="18"/>
      <c r="G37" s="18">
        <f t="shared" si="1"/>
        <v>0</v>
      </c>
      <c r="H37" s="18">
        <v>0</v>
      </c>
      <c r="I37" s="18"/>
      <c r="J37" s="18">
        <f t="shared" si="2"/>
        <v>0</v>
      </c>
      <c r="K37" s="18">
        <f>'2.1 LK TULUD'!E73</f>
        <v>0</v>
      </c>
      <c r="L37" s="18"/>
      <c r="M37" s="18">
        <f t="shared" si="5"/>
        <v>0</v>
      </c>
      <c r="N37" s="18">
        <f t="shared" si="6"/>
        <v>-10000</v>
      </c>
      <c r="O37" s="18">
        <f>'2.1 LK TULUD'!G73</f>
        <v>-10000</v>
      </c>
      <c r="P37" s="18"/>
      <c r="Q37" s="18">
        <f t="shared" si="3"/>
        <v>-10000</v>
      </c>
      <c r="R37" s="18">
        <f t="shared" si="7"/>
        <v>0</v>
      </c>
      <c r="S37" s="635">
        <f t="shared" si="9"/>
        <v>0</v>
      </c>
      <c r="T37" s="18">
        <f t="shared" si="4"/>
        <v>0</v>
      </c>
      <c r="U37" s="635">
        <f>T37/N37</f>
        <v>0</v>
      </c>
      <c r="V37" s="635">
        <f t="shared" ca="1" si="8"/>
        <v>-1.0343596826587804E-5</v>
      </c>
      <c r="Y37" s="688">
        <v>0.3</v>
      </c>
    </row>
    <row r="38" spans="1:25">
      <c r="A38" s="10"/>
      <c r="B38" s="18"/>
      <c r="C38" s="18"/>
      <c r="D38" s="18">
        <f t="shared" si="0"/>
        <v>0</v>
      </c>
      <c r="E38" s="18"/>
      <c r="F38" s="18"/>
      <c r="G38" s="18">
        <f t="shared" si="1"/>
        <v>0</v>
      </c>
      <c r="H38" s="18"/>
      <c r="I38" s="18"/>
      <c r="J38" s="18">
        <f t="shared" si="2"/>
        <v>0</v>
      </c>
      <c r="K38" s="18"/>
      <c r="L38" s="18"/>
      <c r="M38" s="18">
        <f t="shared" si="5"/>
        <v>0</v>
      </c>
      <c r="N38" s="18">
        <f t="shared" si="6"/>
        <v>0</v>
      </c>
      <c r="O38" s="18"/>
      <c r="P38" s="18"/>
      <c r="Q38" s="18">
        <f t="shared" si="3"/>
        <v>0</v>
      </c>
      <c r="R38" s="18">
        <f t="shared" si="7"/>
        <v>0</v>
      </c>
      <c r="S38" s="635"/>
      <c r="T38" s="18">
        <f t="shared" si="4"/>
        <v>0</v>
      </c>
      <c r="U38" s="635"/>
      <c r="V38" s="635">
        <f t="shared" ca="1" si="8"/>
        <v>0</v>
      </c>
      <c r="Y38" s="688">
        <v>0.3</v>
      </c>
    </row>
    <row r="39" spans="1:25">
      <c r="A39" s="14" t="s">
        <v>21</v>
      </c>
      <c r="B39" s="13">
        <f>SUM(B40:B41)</f>
        <v>467000</v>
      </c>
      <c r="C39" s="13"/>
      <c r="D39" s="13">
        <f t="shared" si="0"/>
        <v>467000</v>
      </c>
      <c r="E39" s="13"/>
      <c r="F39" s="13"/>
      <c r="G39" s="13">
        <f t="shared" si="1"/>
        <v>0</v>
      </c>
      <c r="H39" s="13">
        <f>SUM(H40:H41)</f>
        <v>605</v>
      </c>
      <c r="I39" s="13"/>
      <c r="J39" s="13">
        <f t="shared" si="2"/>
        <v>605</v>
      </c>
      <c r="K39" s="13">
        <f>K40+K41</f>
        <v>2728</v>
      </c>
      <c r="L39" s="13"/>
      <c r="M39" s="13">
        <f t="shared" si="5"/>
        <v>2728</v>
      </c>
      <c r="N39" s="13">
        <f t="shared" si="6"/>
        <v>470333</v>
      </c>
      <c r="O39" s="13">
        <f>O40+O41</f>
        <v>467000</v>
      </c>
      <c r="P39" s="13"/>
      <c r="Q39" s="13">
        <f t="shared" si="3"/>
        <v>467000</v>
      </c>
      <c r="R39" s="13">
        <f t="shared" si="7"/>
        <v>0</v>
      </c>
      <c r="S39" s="632">
        <f t="shared" si="9"/>
        <v>0</v>
      </c>
      <c r="T39" s="13">
        <f t="shared" si="4"/>
        <v>-3333</v>
      </c>
      <c r="U39" s="632">
        <f>T39/N39</f>
        <v>-7.08646852336536E-3</v>
      </c>
      <c r="V39" s="632">
        <f t="shared" ca="1" si="8"/>
        <v>4.8304597180165042E-4</v>
      </c>
      <c r="Y39" s="688">
        <v>-32900279.510000002</v>
      </c>
    </row>
    <row r="40" spans="1:25">
      <c r="A40" s="198" t="s">
        <v>66</v>
      </c>
      <c r="B40" s="18">
        <v>400000</v>
      </c>
      <c r="C40" s="18"/>
      <c r="D40" s="18">
        <f t="shared" si="0"/>
        <v>400000</v>
      </c>
      <c r="E40" s="18"/>
      <c r="F40" s="18"/>
      <c r="G40" s="18">
        <f t="shared" si="1"/>
        <v>0</v>
      </c>
      <c r="H40" s="18">
        <v>0</v>
      </c>
      <c r="I40" s="18"/>
      <c r="J40" s="18">
        <f t="shared" si="2"/>
        <v>0</v>
      </c>
      <c r="K40" s="18">
        <f>'2.1 LK TULUD'!E84</f>
        <v>0</v>
      </c>
      <c r="L40" s="18"/>
      <c r="M40" s="18">
        <f t="shared" si="5"/>
        <v>0</v>
      </c>
      <c r="N40" s="18">
        <f t="shared" si="6"/>
        <v>400000</v>
      </c>
      <c r="O40" s="18">
        <f>'2.1 LK TULUD'!G84</f>
        <v>400000</v>
      </c>
      <c r="P40" s="18"/>
      <c r="Q40" s="18">
        <f t="shared" si="3"/>
        <v>400000</v>
      </c>
      <c r="R40" s="18">
        <f t="shared" si="7"/>
        <v>0</v>
      </c>
      <c r="S40" s="635">
        <f t="shared" si="9"/>
        <v>0</v>
      </c>
      <c r="T40" s="18">
        <f t="shared" si="4"/>
        <v>0</v>
      </c>
      <c r="U40" s="635">
        <f>T40/N40</f>
        <v>0</v>
      </c>
      <c r="V40" s="635">
        <f t="shared" ca="1" si="8"/>
        <v>4.1374387306351216E-4</v>
      </c>
      <c r="Y40" s="688">
        <v>-15485591.550000001</v>
      </c>
    </row>
    <row r="41" spans="1:25">
      <c r="A41" s="198" t="s">
        <v>12</v>
      </c>
      <c r="B41" s="18">
        <v>67000</v>
      </c>
      <c r="C41" s="18"/>
      <c r="D41" s="18">
        <f t="shared" si="0"/>
        <v>67000</v>
      </c>
      <c r="E41" s="18"/>
      <c r="F41" s="18"/>
      <c r="G41" s="18">
        <f t="shared" si="1"/>
        <v>0</v>
      </c>
      <c r="H41" s="18">
        <v>605</v>
      </c>
      <c r="I41" s="18"/>
      <c r="J41" s="18">
        <f t="shared" si="2"/>
        <v>605</v>
      </c>
      <c r="K41" s="18">
        <f>'2.1 LK TULUD'!E86</f>
        <v>2728</v>
      </c>
      <c r="L41" s="18"/>
      <c r="M41" s="18">
        <f t="shared" si="5"/>
        <v>2728</v>
      </c>
      <c r="N41" s="18">
        <f t="shared" si="6"/>
        <v>70333</v>
      </c>
      <c r="O41" s="18">
        <f>'2.1 LK TULUD'!G86</f>
        <v>67000</v>
      </c>
      <c r="P41" s="18"/>
      <c r="Q41" s="18">
        <f t="shared" si="3"/>
        <v>67000</v>
      </c>
      <c r="R41" s="18">
        <f t="shared" si="7"/>
        <v>0</v>
      </c>
      <c r="S41" s="635">
        <f t="shared" si="9"/>
        <v>0</v>
      </c>
      <c r="T41" s="18">
        <f t="shared" si="4"/>
        <v>-3333</v>
      </c>
      <c r="U41" s="635">
        <f>T41/N41</f>
        <v>-4.7388850184124094E-2</v>
      </c>
      <c r="V41" s="635">
        <f t="shared" ca="1" si="8"/>
        <v>6.9302098738138279E-5</v>
      </c>
      <c r="Y41" s="688">
        <v>-17275295.649999999</v>
      </c>
    </row>
    <row r="42" spans="1:25">
      <c r="A42" s="10"/>
      <c r="B42" s="18"/>
      <c r="C42" s="18"/>
      <c r="D42" s="18">
        <f t="shared" si="0"/>
        <v>0</v>
      </c>
      <c r="E42" s="18"/>
      <c r="F42" s="18"/>
      <c r="G42" s="18">
        <f t="shared" si="1"/>
        <v>0</v>
      </c>
      <c r="H42" s="18"/>
      <c r="I42" s="18"/>
      <c r="J42" s="18">
        <f t="shared" si="2"/>
        <v>0</v>
      </c>
      <c r="K42" s="18"/>
      <c r="L42" s="18"/>
      <c r="M42" s="18">
        <f t="shared" si="5"/>
        <v>0</v>
      </c>
      <c r="N42" s="18">
        <f t="shared" si="6"/>
        <v>0</v>
      </c>
      <c r="O42" s="18"/>
      <c r="P42" s="18"/>
      <c r="Q42" s="18">
        <f t="shared" si="3"/>
        <v>0</v>
      </c>
      <c r="R42" s="18">
        <f t="shared" si="7"/>
        <v>0</v>
      </c>
      <c r="S42" s="635"/>
      <c r="T42" s="18">
        <f t="shared" si="4"/>
        <v>0</v>
      </c>
      <c r="U42" s="635"/>
      <c r="V42" s="635">
        <f t="shared" ca="1" si="8"/>
        <v>0</v>
      </c>
      <c r="Y42" s="688">
        <v>3743.86</v>
      </c>
    </row>
    <row r="43" spans="1:25">
      <c r="A43" s="14" t="s">
        <v>22</v>
      </c>
      <c r="B43" s="13">
        <v>8600000</v>
      </c>
      <c r="C43" s="13"/>
      <c r="D43" s="13">
        <f t="shared" si="0"/>
        <v>8600000</v>
      </c>
      <c r="E43" s="13"/>
      <c r="F43" s="13"/>
      <c r="G43" s="13">
        <f t="shared" si="1"/>
        <v>0</v>
      </c>
      <c r="H43" s="13">
        <v>1357463</v>
      </c>
      <c r="I43" s="13"/>
      <c r="J43" s="13">
        <f t="shared" si="2"/>
        <v>1357463</v>
      </c>
      <c r="K43" s="13">
        <f>'2.1 LK TULUD'!E91</f>
        <v>0</v>
      </c>
      <c r="L43" s="13"/>
      <c r="M43" s="13">
        <f t="shared" si="5"/>
        <v>0</v>
      </c>
      <c r="N43" s="13">
        <f t="shared" si="6"/>
        <v>9957463</v>
      </c>
      <c r="O43" s="13">
        <f>'2.1 LK TULUD'!G91</f>
        <v>6800000</v>
      </c>
      <c r="P43" s="13"/>
      <c r="Q43" s="13">
        <f t="shared" si="3"/>
        <v>6800000</v>
      </c>
      <c r="R43" s="13">
        <f t="shared" si="7"/>
        <v>-1800000</v>
      </c>
      <c r="S43" s="632">
        <f t="shared" si="9"/>
        <v>-0.20930232558139536</v>
      </c>
      <c r="T43" s="13">
        <f t="shared" si="4"/>
        <v>-3157463</v>
      </c>
      <c r="U43" s="632">
        <f>T43/N43</f>
        <v>-0.31709512754403407</v>
      </c>
      <c r="V43" s="632">
        <f t="shared" ca="1" si="8"/>
        <v>7.0336458420797061E-3</v>
      </c>
      <c r="Y43" s="688">
        <v>-143136.17000000001</v>
      </c>
    </row>
    <row r="44" spans="1:25" ht="8.25" customHeight="1">
      <c r="A44" s="14"/>
      <c r="B44" s="18"/>
      <c r="C44" s="18"/>
      <c r="D44" s="18">
        <f t="shared" si="0"/>
        <v>0</v>
      </c>
      <c r="E44" s="18"/>
      <c r="F44" s="18"/>
      <c r="G44" s="18">
        <f t="shared" si="1"/>
        <v>0</v>
      </c>
      <c r="H44" s="18"/>
      <c r="I44" s="18"/>
      <c r="J44" s="18">
        <f t="shared" si="2"/>
        <v>0</v>
      </c>
      <c r="K44" s="18"/>
      <c r="L44" s="18"/>
      <c r="M44" s="18">
        <f t="shared" si="5"/>
        <v>0</v>
      </c>
      <c r="N44" s="18">
        <f t="shared" si="6"/>
        <v>0</v>
      </c>
      <c r="O44" s="18"/>
      <c r="P44" s="18"/>
      <c r="Q44" s="18">
        <f t="shared" si="3"/>
        <v>0</v>
      </c>
      <c r="R44" s="18">
        <f t="shared" si="7"/>
        <v>0</v>
      </c>
      <c r="S44" s="635"/>
      <c r="T44" s="18">
        <f t="shared" si="4"/>
        <v>0</v>
      </c>
      <c r="U44" s="635"/>
      <c r="V44" s="635">
        <f t="shared" ca="1" si="8"/>
        <v>0</v>
      </c>
    </row>
    <row r="45" spans="1:25">
      <c r="A45" s="547" t="s">
        <v>1070</v>
      </c>
      <c r="B45" s="13">
        <f>B6+B17+B19+B25+B29+B33+B39+B43</f>
        <v>605229124</v>
      </c>
      <c r="C45" s="13">
        <f>C6+C17+C19+C25+C29+C33+C39+C43</f>
        <v>89458539</v>
      </c>
      <c r="D45" s="13">
        <f t="shared" si="0"/>
        <v>694687663</v>
      </c>
      <c r="E45" s="13">
        <f t="shared" ref="E45:G45" si="10">E6+E17+E19+E25+E29+E33+E39+E43</f>
        <v>5343000</v>
      </c>
      <c r="F45" s="13">
        <f t="shared" si="10"/>
        <v>0</v>
      </c>
      <c r="G45" s="13">
        <f t="shared" si="10"/>
        <v>5343000</v>
      </c>
      <c r="H45" s="13">
        <f>H6+H17+H19+H25+H29+H33+H39+H43</f>
        <v>16745492</v>
      </c>
      <c r="I45" s="13">
        <f>I19+I25+I29+I33+I39+I43</f>
        <v>4842245</v>
      </c>
      <c r="J45" s="13">
        <f t="shared" si="2"/>
        <v>21587737</v>
      </c>
      <c r="K45" s="13">
        <f>K6+K17+K19+K25+K29+K33+K39+K43</f>
        <v>12618233</v>
      </c>
      <c r="L45" s="13">
        <f ca="1">L6+L17+L19+L25+L29+L33+L39+L43</f>
        <v>4962164</v>
      </c>
      <c r="M45" s="13">
        <f t="shared" ca="1" si="5"/>
        <v>17580397</v>
      </c>
      <c r="N45" s="13">
        <f t="shared" ca="1" si="6"/>
        <v>739198797</v>
      </c>
      <c r="O45" s="13">
        <f>O6+O17+O19+O25+O29+O33+O39+O43</f>
        <v>676828524</v>
      </c>
      <c r="P45" s="13">
        <f ca="1">P6+P17+P19+P25+P29+P33+P39+P43</f>
        <v>96159536</v>
      </c>
      <c r="Q45" s="13">
        <f t="shared" ca="1" si="3"/>
        <v>772988060</v>
      </c>
      <c r="R45" s="13">
        <f t="shared" ca="1" si="7"/>
        <v>78300397</v>
      </c>
      <c r="S45" s="632">
        <f t="shared" ca="1" si="9"/>
        <v>0.11271309564050801</v>
      </c>
      <c r="T45" s="13">
        <f t="shared" ca="1" si="4"/>
        <v>33789263</v>
      </c>
      <c r="U45" s="632">
        <f ca="1">T45/N45</f>
        <v>4.5710657453897345E-2</v>
      </c>
      <c r="V45" s="632">
        <f t="shared" ca="1" si="8"/>
        <v>0.79954768444062629</v>
      </c>
    </row>
    <row r="46" spans="1:25" ht="7.5" customHeight="1">
      <c r="A46" s="14"/>
      <c r="B46" s="18"/>
      <c r="C46" s="18"/>
      <c r="D46" s="18">
        <f t="shared" si="0"/>
        <v>0</v>
      </c>
      <c r="E46" s="18"/>
      <c r="F46" s="18"/>
      <c r="G46" s="18">
        <f t="shared" ref="G46:G52" si="11">E46+F46</f>
        <v>0</v>
      </c>
      <c r="H46" s="18"/>
      <c r="I46" s="18"/>
      <c r="J46" s="18">
        <f t="shared" si="2"/>
        <v>0</v>
      </c>
      <c r="K46" s="18"/>
      <c r="L46" s="18"/>
      <c r="M46" s="18">
        <f t="shared" si="5"/>
        <v>0</v>
      </c>
      <c r="N46" s="18">
        <f t="shared" si="6"/>
        <v>0</v>
      </c>
      <c r="O46" s="18"/>
      <c r="P46" s="18"/>
      <c r="Q46" s="18">
        <f t="shared" si="3"/>
        <v>0</v>
      </c>
      <c r="R46" s="18">
        <f t="shared" si="7"/>
        <v>0</v>
      </c>
      <c r="S46" s="635"/>
      <c r="T46" s="18">
        <f t="shared" si="4"/>
        <v>0</v>
      </c>
      <c r="U46" s="635"/>
      <c r="V46" s="635">
        <f t="shared" ca="1" si="8"/>
        <v>0</v>
      </c>
    </row>
    <row r="47" spans="1:25">
      <c r="A47" s="14" t="s">
        <v>1071</v>
      </c>
      <c r="B47" s="13">
        <f>SUM(B48:B50)</f>
        <v>31468054</v>
      </c>
      <c r="C47" s="13">
        <f>SUM(C48:C51)</f>
        <v>142364824</v>
      </c>
      <c r="D47" s="13">
        <f t="shared" si="0"/>
        <v>173832878</v>
      </c>
      <c r="E47" s="13"/>
      <c r="F47" s="13"/>
      <c r="G47" s="13">
        <f t="shared" si="11"/>
        <v>0</v>
      </c>
      <c r="H47" s="13">
        <f>SUM(H48:H50)</f>
        <v>1037783</v>
      </c>
      <c r="I47" s="13">
        <f>SUM(I48:I51)</f>
        <v>7416474</v>
      </c>
      <c r="J47" s="13">
        <f t="shared" si="2"/>
        <v>8454257</v>
      </c>
      <c r="K47" s="13">
        <f>SUM(K48:K51)</f>
        <v>-1058775</v>
      </c>
      <c r="L47" s="13">
        <f>SUM(L48:L51)</f>
        <v>5238154</v>
      </c>
      <c r="M47" s="13">
        <f t="shared" si="5"/>
        <v>4179379</v>
      </c>
      <c r="N47" s="13">
        <f t="shared" si="6"/>
        <v>186466514</v>
      </c>
      <c r="O47" s="13">
        <f>SUM(O48:O51)</f>
        <v>26444823</v>
      </c>
      <c r="P47" s="13">
        <f>SUM(P48:P51)</f>
        <v>167348805</v>
      </c>
      <c r="Q47" s="13">
        <f t="shared" ref="Q47" si="12">SUM(Q48:Q50)</f>
        <v>193743828</v>
      </c>
      <c r="R47" s="13">
        <f t="shared" si="7"/>
        <v>19910950</v>
      </c>
      <c r="S47" s="632">
        <f t="shared" si="9"/>
        <v>0.11454076023524158</v>
      </c>
      <c r="T47" s="13">
        <f t="shared" si="4"/>
        <v>7277314</v>
      </c>
      <c r="U47" s="632">
        <f>T47/N47</f>
        <v>3.9027457766492059E-2</v>
      </c>
      <c r="V47" s="632">
        <f t="shared" ca="1" si="8"/>
        <v>0.20040080444717731</v>
      </c>
      <c r="W47" s="635"/>
    </row>
    <row r="48" spans="1:25">
      <c r="A48" s="10" t="s">
        <v>1072</v>
      </c>
      <c r="B48" s="18">
        <v>11842853</v>
      </c>
      <c r="C48" s="18">
        <v>138017878</v>
      </c>
      <c r="D48" s="18">
        <f t="shared" si="0"/>
        <v>149860731</v>
      </c>
      <c r="E48" s="18"/>
      <c r="F48" s="18"/>
      <c r="G48" s="18">
        <f t="shared" si="11"/>
        <v>0</v>
      </c>
      <c r="H48" s="18">
        <v>2355260</v>
      </c>
      <c r="I48" s="18">
        <v>6459555</v>
      </c>
      <c r="J48" s="18">
        <f t="shared" si="2"/>
        <v>8814815</v>
      </c>
      <c r="K48" s="18">
        <f>'2.3 TOETUSED'!E27+'2.3 TOETUSED'!E37</f>
        <v>-374318</v>
      </c>
      <c r="L48" s="18">
        <f>'2.3 TOETUSED'!E6</f>
        <v>4483848</v>
      </c>
      <c r="M48" s="18">
        <f t="shared" si="5"/>
        <v>4109530</v>
      </c>
      <c r="N48" s="18">
        <f t="shared" si="6"/>
        <v>162785076</v>
      </c>
      <c r="O48" s="18">
        <f>'2.3 TOETUSED'!G27</f>
        <v>6607536</v>
      </c>
      <c r="P48" s="18">
        <f>'2.3 TOETUSED'!G6</f>
        <v>165055721</v>
      </c>
      <c r="Q48" s="18">
        <f t="shared" ref="Q48:Q53" si="13">O48+P48</f>
        <v>171663257</v>
      </c>
      <c r="R48" s="18">
        <f t="shared" si="7"/>
        <v>21802526</v>
      </c>
      <c r="S48" s="635">
        <f t="shared" si="9"/>
        <v>0.14548525056907669</v>
      </c>
      <c r="T48" s="18">
        <f t="shared" si="4"/>
        <v>8878181</v>
      </c>
      <c r="U48" s="635">
        <f>T48/N48</f>
        <v>5.4539280984210126E-2</v>
      </c>
      <c r="V48" s="635">
        <f t="shared" ca="1" si="8"/>
        <v>0.17756155203469265</v>
      </c>
      <c r="W48" s="635"/>
    </row>
    <row r="49" spans="1:23">
      <c r="A49" s="198" t="s">
        <v>1073</v>
      </c>
      <c r="B49" s="18"/>
      <c r="C49" s="18">
        <v>9223</v>
      </c>
      <c r="D49" s="18">
        <f t="shared" si="0"/>
        <v>9223</v>
      </c>
      <c r="E49" s="18"/>
      <c r="F49" s="18"/>
      <c r="G49" s="18">
        <f t="shared" si="11"/>
        <v>0</v>
      </c>
      <c r="H49" s="18"/>
      <c r="I49" s="18"/>
      <c r="J49" s="18">
        <f t="shared" si="2"/>
        <v>0</v>
      </c>
      <c r="K49" s="18"/>
      <c r="L49" s="18">
        <f>'2.3 TOETUSED'!E41</f>
        <v>0</v>
      </c>
      <c r="M49" s="18">
        <f t="shared" si="5"/>
        <v>0</v>
      </c>
      <c r="N49" s="18">
        <f t="shared" si="6"/>
        <v>9223</v>
      </c>
      <c r="O49" s="18"/>
      <c r="P49" s="18">
        <f>'2.3 TOETUSED'!G41</f>
        <v>0</v>
      </c>
      <c r="Q49" s="18">
        <f t="shared" si="13"/>
        <v>0</v>
      </c>
      <c r="R49" s="18">
        <f t="shared" si="7"/>
        <v>-9223</v>
      </c>
      <c r="S49" s="635">
        <f t="shared" si="9"/>
        <v>-1</v>
      </c>
      <c r="T49" s="18">
        <f t="shared" si="4"/>
        <v>-9223</v>
      </c>
      <c r="U49" s="635">
        <f>T49/N49</f>
        <v>-1</v>
      </c>
      <c r="V49" s="635">
        <f t="shared" ca="1" si="8"/>
        <v>0</v>
      </c>
      <c r="W49" s="635"/>
    </row>
    <row r="50" spans="1:23">
      <c r="A50" s="198" t="s">
        <v>33</v>
      </c>
      <c r="B50" s="18">
        <v>19625201</v>
      </c>
      <c r="C50" s="18">
        <v>4287923</v>
      </c>
      <c r="D50" s="18">
        <f t="shared" si="0"/>
        <v>23913124</v>
      </c>
      <c r="E50" s="18"/>
      <c r="F50" s="18"/>
      <c r="G50" s="18">
        <f t="shared" si="11"/>
        <v>0</v>
      </c>
      <c r="H50" s="18">
        <v>-1317477</v>
      </c>
      <c r="I50" s="18">
        <v>956919</v>
      </c>
      <c r="J50" s="18">
        <f t="shared" si="2"/>
        <v>-360558</v>
      </c>
      <c r="K50" s="18">
        <f>'2.3 TOETUSED'!E100</f>
        <v>-684457</v>
      </c>
      <c r="L50" s="18">
        <f>'2.3 TOETUSED'!E50</f>
        <v>724201</v>
      </c>
      <c r="M50" s="18">
        <f t="shared" si="5"/>
        <v>39744</v>
      </c>
      <c r="N50" s="18">
        <f t="shared" si="6"/>
        <v>23592310</v>
      </c>
      <c r="O50" s="18">
        <f>'2.3 TOETUSED'!G100</f>
        <v>19837287</v>
      </c>
      <c r="P50" s="18">
        <f>'2.3 TOETUSED'!G50</f>
        <v>2243284</v>
      </c>
      <c r="Q50" s="18">
        <f t="shared" si="13"/>
        <v>22080571</v>
      </c>
      <c r="R50" s="18">
        <f t="shared" si="7"/>
        <v>-1832553</v>
      </c>
      <c r="S50" s="635">
        <f t="shared" si="9"/>
        <v>-7.6633776498628958E-2</v>
      </c>
      <c r="T50" s="18">
        <f t="shared" si="4"/>
        <v>-1511739</v>
      </c>
      <c r="U50" s="635">
        <f>T50/N50</f>
        <v>-6.4077616816666114E-2</v>
      </c>
      <c r="V50" s="635">
        <f t="shared" ca="1" si="8"/>
        <v>2.2839252412484669E-2</v>
      </c>
      <c r="W50" s="635"/>
    </row>
    <row r="51" spans="1:23">
      <c r="A51" s="198" t="s">
        <v>896</v>
      </c>
      <c r="B51" s="18"/>
      <c r="C51" s="18">
        <v>49800</v>
      </c>
      <c r="D51" s="18">
        <f t="shared" si="0"/>
        <v>49800</v>
      </c>
      <c r="E51" s="18"/>
      <c r="F51" s="18"/>
      <c r="G51" s="18">
        <f t="shared" si="11"/>
        <v>0</v>
      </c>
      <c r="H51" s="18"/>
      <c r="I51" s="18"/>
      <c r="J51" s="18">
        <f t="shared" si="2"/>
        <v>0</v>
      </c>
      <c r="K51" s="18"/>
      <c r="L51" s="18">
        <f>'2.3 TOETUSED'!E129</f>
        <v>30105</v>
      </c>
      <c r="M51" s="18">
        <f t="shared" si="5"/>
        <v>30105</v>
      </c>
      <c r="N51" s="18">
        <f t="shared" si="6"/>
        <v>79905</v>
      </c>
      <c r="O51" s="18"/>
      <c r="P51" s="18">
        <f>'2.3 TOETUSED'!G129</f>
        <v>49800</v>
      </c>
      <c r="Q51" s="18">
        <f t="shared" si="13"/>
        <v>49800</v>
      </c>
      <c r="R51" s="18">
        <f t="shared" si="7"/>
        <v>0</v>
      </c>
      <c r="S51" s="635">
        <f t="shared" si="9"/>
        <v>0</v>
      </c>
      <c r="T51" s="18">
        <f t="shared" si="4"/>
        <v>-30105</v>
      </c>
      <c r="U51" s="635">
        <f>T51/N51</f>
        <v>-0.37675990238408108</v>
      </c>
      <c r="V51" s="635">
        <f t="shared" ca="1" si="8"/>
        <v>5.1511112196407264E-5</v>
      </c>
      <c r="W51" s="635"/>
    </row>
    <row r="52" spans="1:23" ht="9.75" customHeight="1">
      <c r="A52" s="10"/>
      <c r="B52" s="18"/>
      <c r="C52" s="18"/>
      <c r="D52" s="18">
        <f t="shared" si="0"/>
        <v>0</v>
      </c>
      <c r="E52" s="18"/>
      <c r="F52" s="18"/>
      <c r="G52" s="18">
        <f t="shared" si="11"/>
        <v>0</v>
      </c>
      <c r="H52" s="18"/>
      <c r="I52" s="18"/>
      <c r="J52" s="18">
        <f t="shared" si="2"/>
        <v>0</v>
      </c>
      <c r="K52" s="18"/>
      <c r="L52" s="18"/>
      <c r="M52" s="18">
        <f t="shared" si="5"/>
        <v>0</v>
      </c>
      <c r="N52" s="18">
        <f t="shared" si="6"/>
        <v>0</v>
      </c>
      <c r="O52" s="18"/>
      <c r="P52" s="18"/>
      <c r="Q52" s="18">
        <f t="shared" si="13"/>
        <v>0</v>
      </c>
      <c r="R52" s="18">
        <f t="shared" si="7"/>
        <v>0</v>
      </c>
      <c r="S52" s="635"/>
      <c r="T52" s="18">
        <f t="shared" si="4"/>
        <v>0</v>
      </c>
      <c r="U52" s="635"/>
      <c r="V52" s="635">
        <f t="shared" ca="1" si="8"/>
        <v>0</v>
      </c>
      <c r="W52" s="635"/>
    </row>
    <row r="53" spans="1:23">
      <c r="A53" s="14" t="s">
        <v>1074</v>
      </c>
      <c r="B53" s="13">
        <f t="shared" ref="B53:G53" si="14">B45+B47</f>
        <v>636697178</v>
      </c>
      <c r="C53" s="13">
        <f t="shared" si="14"/>
        <v>231823363</v>
      </c>
      <c r="D53" s="13">
        <f t="shared" si="0"/>
        <v>868520541</v>
      </c>
      <c r="E53" s="13">
        <f t="shared" si="14"/>
        <v>5343000</v>
      </c>
      <c r="F53" s="13">
        <f t="shared" si="14"/>
        <v>0</v>
      </c>
      <c r="G53" s="13">
        <f t="shared" si="14"/>
        <v>5343000</v>
      </c>
      <c r="H53" s="13">
        <f>H45+H47</f>
        <v>17783275</v>
      </c>
      <c r="I53" s="13">
        <f>I45+I47</f>
        <v>12258719</v>
      </c>
      <c r="J53" s="13">
        <f t="shared" si="2"/>
        <v>30041994</v>
      </c>
      <c r="K53" s="13">
        <f>K45+K47</f>
        <v>11559458</v>
      </c>
      <c r="L53" s="13">
        <f ca="1">L45+L47</f>
        <v>10200318</v>
      </c>
      <c r="M53" s="13">
        <f t="shared" ca="1" si="5"/>
        <v>21759776</v>
      </c>
      <c r="N53" s="13">
        <f t="shared" ca="1" si="6"/>
        <v>925665311</v>
      </c>
      <c r="O53" s="13">
        <f t="shared" ref="O53" si="15">O45+O47</f>
        <v>703273347</v>
      </c>
      <c r="P53" s="13">
        <f ca="1">P45+P47</f>
        <v>263508341</v>
      </c>
      <c r="Q53" s="13">
        <f t="shared" ca="1" si="13"/>
        <v>966781688</v>
      </c>
      <c r="R53" s="13">
        <f t="shared" ca="1" si="7"/>
        <v>98261147</v>
      </c>
      <c r="S53" s="632">
        <f t="shared" ca="1" si="9"/>
        <v>0.11313623842087116</v>
      </c>
      <c r="T53" s="13">
        <f t="shared" ca="1" si="4"/>
        <v>41116377</v>
      </c>
      <c r="U53" s="632">
        <f ca="1">T53/N53</f>
        <v>4.4418189286559537E-2</v>
      </c>
      <c r="V53" s="632">
        <f t="shared" ca="1" si="8"/>
        <v>1</v>
      </c>
      <c r="W53" s="635"/>
    </row>
    <row r="54" spans="1:23">
      <c r="B54" s="13"/>
      <c r="C54" s="13"/>
      <c r="D54" s="13"/>
      <c r="E54" s="13"/>
      <c r="F54" s="13"/>
      <c r="G54" s="13"/>
      <c r="J54" s="13">
        <f>'2.1 LK TULUD'!D94+'2.2 OMATULUD'!D790+'2.3 TOETUSED'!D131</f>
        <v>30041994</v>
      </c>
      <c r="K54" s="13"/>
      <c r="L54" s="13"/>
      <c r="M54" s="13">
        <f>'2.1 LK TULUD'!E94+'2.2 OMATULUD'!E790+'2.3 TOETUSED'!E131</f>
        <v>21759776</v>
      </c>
      <c r="N54" s="683">
        <f>'2.1 LK TULUD'!F94+'2.2 OMATULUD'!F790+'2.3 TOETUSED'!F131</f>
        <v>925665311</v>
      </c>
      <c r="O54" s="683"/>
      <c r="P54" s="683"/>
      <c r="Q54" s="683">
        <f>'2.1 LK TULUD'!G94+'2.2 OMATULUD'!G790+'2.3 TOETUSED'!G131</f>
        <v>966781688</v>
      </c>
      <c r="R54" s="13"/>
      <c r="S54" s="636"/>
      <c r="T54" s="13"/>
      <c r="U54" s="13"/>
    </row>
    <row r="55" spans="1:23">
      <c r="B55" s="18"/>
      <c r="C55" s="18"/>
      <c r="D55" s="18"/>
      <c r="E55" s="18"/>
      <c r="F55" s="18"/>
      <c r="G55" s="18"/>
      <c r="J55" s="18"/>
      <c r="K55" s="18"/>
      <c r="L55" s="18"/>
      <c r="M55" s="18"/>
      <c r="N55" s="18"/>
      <c r="O55" s="18"/>
      <c r="P55" s="18"/>
      <c r="Q55" s="18"/>
      <c r="S55" s="637"/>
    </row>
    <row r="56" spans="1:23">
      <c r="Q56" s="18"/>
      <c r="S56" s="637"/>
    </row>
    <row r="57" spans="1:23">
      <c r="J57" s="75">
        <f t="shared" ref="J55:J60" si="16">H57+I57</f>
        <v>0</v>
      </c>
      <c r="S57" s="637"/>
    </row>
    <row r="58" spans="1:23">
      <c r="J58" s="75">
        <f t="shared" si="16"/>
        <v>0</v>
      </c>
      <c r="S58" s="637"/>
    </row>
    <row r="59" spans="1:23">
      <c r="J59" s="75">
        <f t="shared" si="16"/>
        <v>0</v>
      </c>
      <c r="S59" s="637"/>
    </row>
    <row r="60" spans="1:23">
      <c r="J60" s="75">
        <f t="shared" si="16"/>
        <v>0</v>
      </c>
      <c r="S60" s="637"/>
    </row>
  </sheetData>
  <autoFilter ref="A5:U59" xr:uid="{6E78D9BB-D832-48BE-9EAE-3B2551ABE4BC}"/>
  <mergeCells count="4">
    <mergeCell ref="T3:U3"/>
    <mergeCell ref="R3:S3"/>
    <mergeCell ref="V3:V4"/>
    <mergeCell ref="D3:N3"/>
  </mergeCells>
  <printOptions gridLines="1"/>
  <pageMargins left="1.1811023622047245" right="0.47244094488188981" top="0.27559055118110237" bottom="0.19685039370078741" header="0.51181102362204722" footer="0.51181102362204722"/>
  <pageSetup paperSize="9" scale="8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79998168889431442"/>
  </sheetPr>
  <dimension ref="A1:K96"/>
  <sheetViews>
    <sheetView showZeros="0" zoomScale="90" zoomScaleNormal="90" workbookViewId="0">
      <pane xSplit="1" ySplit="4" topLeftCell="B5" activePane="bottomRight" state="frozen"/>
      <selection activeCell="N23" sqref="N23"/>
      <selection pane="topRight" activeCell="N23" sqref="N23"/>
      <selection pane="bottomLeft" activeCell="N23" sqref="N23"/>
      <selection pane="bottomRight" activeCell="N23" sqref="N23"/>
    </sheetView>
  </sheetViews>
  <sheetFormatPr defaultColWidth="9.44140625" defaultRowHeight="13.2"/>
  <cols>
    <col min="1" max="1" width="44" style="17" customWidth="1"/>
    <col min="2" max="2" width="12.5546875" style="17" customWidth="1"/>
    <col min="3" max="4" width="12.5546875" style="17" hidden="1" customWidth="1"/>
    <col min="5" max="5" width="12.5546875" style="608" hidden="1" customWidth="1"/>
    <col min="6" max="6" width="12" style="17" bestFit="1" customWidth="1"/>
    <col min="7" max="7" width="14" style="17" customWidth="1"/>
    <col min="8" max="8" width="12.5546875" style="17" bestFit="1" customWidth="1"/>
    <col min="9" max="9" width="9.44140625" style="17"/>
    <col min="10" max="10" width="11" style="17" bestFit="1" customWidth="1"/>
    <col min="11" max="16384" width="9.44140625" style="17"/>
  </cols>
  <sheetData>
    <row r="1" spans="1:11" ht="13.8">
      <c r="A1" s="11" t="s">
        <v>34</v>
      </c>
      <c r="I1" s="87"/>
    </row>
    <row r="2" spans="1:11" ht="13.8">
      <c r="A2" s="11"/>
      <c r="G2" s="88"/>
    </row>
    <row r="3" spans="1:11" ht="27" customHeight="1">
      <c r="A3" s="24"/>
      <c r="B3" s="760">
        <v>2022</v>
      </c>
      <c r="C3" s="761"/>
      <c r="D3" s="761"/>
      <c r="E3" s="761"/>
      <c r="F3" s="762"/>
      <c r="G3" s="638">
        <v>2023</v>
      </c>
      <c r="H3" s="758" t="s">
        <v>1212</v>
      </c>
      <c r="I3" s="759"/>
      <c r="J3" s="756" t="s">
        <v>1213</v>
      </c>
      <c r="K3" s="757"/>
    </row>
    <row r="4" spans="1:11" ht="39.6">
      <c r="A4" s="24"/>
      <c r="B4" s="644" t="s">
        <v>667</v>
      </c>
      <c r="C4" s="644" t="s">
        <v>827</v>
      </c>
      <c r="D4" s="644" t="s">
        <v>828</v>
      </c>
      <c r="E4" s="644" t="s">
        <v>1187</v>
      </c>
      <c r="F4" s="644" t="s">
        <v>668</v>
      </c>
      <c r="G4" s="639" t="s">
        <v>1211</v>
      </c>
      <c r="H4" s="640" t="s">
        <v>14</v>
      </c>
      <c r="I4" s="641" t="s">
        <v>743</v>
      </c>
      <c r="J4" s="642" t="s">
        <v>14</v>
      </c>
      <c r="K4" s="643" t="s">
        <v>743</v>
      </c>
    </row>
    <row r="5" spans="1:11">
      <c r="A5" s="24"/>
      <c r="B5" s="2"/>
      <c r="C5" s="2"/>
      <c r="D5" s="2"/>
      <c r="E5" s="609"/>
    </row>
    <row r="6" spans="1:11">
      <c r="A6" s="133" t="s">
        <v>15</v>
      </c>
      <c r="B6" s="134">
        <f t="shared" ref="B6" si="0">B7+B10</f>
        <v>581400000</v>
      </c>
      <c r="C6" s="134">
        <f>C7</f>
        <v>5343000</v>
      </c>
      <c r="D6" s="134">
        <f>D7</f>
        <v>13500000</v>
      </c>
      <c r="E6" s="684">
        <f>E7+E10</f>
        <v>11000000</v>
      </c>
      <c r="F6" s="684">
        <f>SUM(B6:E6)</f>
        <v>611243000</v>
      </c>
      <c r="G6" s="684">
        <f>G7+G10</f>
        <v>650100000</v>
      </c>
      <c r="H6" s="134">
        <f>G6-B6</f>
        <v>68700000</v>
      </c>
      <c r="I6" s="156">
        <f>H6/B6</f>
        <v>0.11816305469556243</v>
      </c>
      <c r="J6" s="134">
        <f t="shared" ref="J6:J49" si="1">IF(G6=0,0,G6-F6)</f>
        <v>38857000</v>
      </c>
      <c r="K6" s="156">
        <f t="shared" ref="K6:K49" si="2">IF(G6=0,"",J6/F6)</f>
        <v>6.3570462156621835E-2</v>
      </c>
    </row>
    <row r="7" spans="1:11">
      <c r="A7" s="135" t="s">
        <v>26</v>
      </c>
      <c r="B7" s="136">
        <f>B8</f>
        <v>556000000</v>
      </c>
      <c r="C7" s="136">
        <f>C8</f>
        <v>5343000</v>
      </c>
      <c r="D7" s="136">
        <f>D8</f>
        <v>13500000</v>
      </c>
      <c r="E7" s="508">
        <f>E8</f>
        <v>11000000</v>
      </c>
      <c r="F7" s="508">
        <f t="shared" ref="F7:F70" si="3">SUM(B7:E7)</f>
        <v>585843000</v>
      </c>
      <c r="G7" s="508">
        <f>G8</f>
        <v>624700000</v>
      </c>
      <c r="H7" s="136">
        <f t="shared" ref="H7:H70" si="4">G7-B7</f>
        <v>68700000</v>
      </c>
      <c r="I7" s="157">
        <f t="shared" ref="I7:I69" si="5">H7/B7</f>
        <v>0.12356115107913669</v>
      </c>
      <c r="J7" s="136">
        <f t="shared" si="1"/>
        <v>38857000</v>
      </c>
      <c r="K7" s="157">
        <f t="shared" si="2"/>
        <v>6.6326643827783208E-2</v>
      </c>
    </row>
    <row r="8" spans="1:11">
      <c r="A8" s="137" t="s">
        <v>25</v>
      </c>
      <c r="B8" s="138">
        <f>523461412+25038588+7500000</f>
        <v>556000000</v>
      </c>
      <c r="C8" s="138">
        <v>5343000</v>
      </c>
      <c r="D8" s="138">
        <v>13500000</v>
      </c>
      <c r="E8" s="4">
        <v>11000000</v>
      </c>
      <c r="F8" s="4">
        <f t="shared" si="3"/>
        <v>585843000</v>
      </c>
      <c r="G8" s="4">
        <f>606418965+17000000+290000-8965+1000000</f>
        <v>624700000</v>
      </c>
      <c r="H8" s="138">
        <f t="shared" si="4"/>
        <v>68700000</v>
      </c>
      <c r="I8" s="696">
        <f t="shared" si="5"/>
        <v>0.12356115107913669</v>
      </c>
      <c r="J8" s="138">
        <f t="shared" si="1"/>
        <v>38857000</v>
      </c>
      <c r="K8" s="696">
        <f t="shared" si="2"/>
        <v>6.6326643827783208E-2</v>
      </c>
    </row>
    <row r="9" spans="1:11">
      <c r="A9" s="139"/>
      <c r="B9" s="138"/>
      <c r="C9" s="138"/>
      <c r="D9" s="136"/>
      <c r="E9" s="508"/>
      <c r="F9" s="4">
        <f t="shared" si="3"/>
        <v>0</v>
      </c>
      <c r="G9" s="4"/>
      <c r="H9" s="138">
        <f t="shared" si="4"/>
        <v>0</v>
      </c>
      <c r="I9" s="91"/>
      <c r="J9" s="138">
        <f t="shared" si="1"/>
        <v>0</v>
      </c>
      <c r="K9" s="91" t="str">
        <f t="shared" si="2"/>
        <v/>
      </c>
    </row>
    <row r="10" spans="1:11">
      <c r="A10" s="135" t="s">
        <v>27</v>
      </c>
      <c r="B10" s="136">
        <f>B11</f>
        <v>25400000</v>
      </c>
      <c r="C10" s="136"/>
      <c r="D10" s="136"/>
      <c r="E10" s="508"/>
      <c r="F10" s="508">
        <f t="shared" si="3"/>
        <v>25400000</v>
      </c>
      <c r="G10" s="508">
        <f>SUM(C10:F10)</f>
        <v>25400000</v>
      </c>
      <c r="H10" s="136">
        <f t="shared" si="4"/>
        <v>0</v>
      </c>
      <c r="I10" s="157">
        <f t="shared" si="5"/>
        <v>0</v>
      </c>
      <c r="J10" s="136">
        <f t="shared" si="1"/>
        <v>0</v>
      </c>
      <c r="K10" s="157">
        <f t="shared" si="2"/>
        <v>0</v>
      </c>
    </row>
    <row r="11" spans="1:11">
      <c r="A11" s="137" t="s">
        <v>25</v>
      </c>
      <c r="B11" s="138">
        <v>25400000</v>
      </c>
      <c r="C11" s="138"/>
      <c r="D11" s="136"/>
      <c r="E11" s="508"/>
      <c r="F11" s="4">
        <f t="shared" si="3"/>
        <v>25400000</v>
      </c>
      <c r="G11" s="4">
        <f>SUM(C11:F11)</f>
        <v>25400000</v>
      </c>
      <c r="H11" s="138">
        <f t="shared" si="4"/>
        <v>0</v>
      </c>
      <c r="I11" s="91">
        <f t="shared" si="5"/>
        <v>0</v>
      </c>
      <c r="J11" s="138">
        <f t="shared" si="1"/>
        <v>0</v>
      </c>
      <c r="K11" s="91">
        <f t="shared" si="2"/>
        <v>0</v>
      </c>
    </row>
    <row r="12" spans="1:11">
      <c r="A12" s="135"/>
      <c r="B12" s="136"/>
      <c r="C12" s="136"/>
      <c r="D12" s="136"/>
      <c r="E12" s="508"/>
      <c r="F12" s="508">
        <f t="shared" si="3"/>
        <v>0</v>
      </c>
      <c r="G12" s="508"/>
      <c r="H12" s="136">
        <f t="shared" si="4"/>
        <v>0</v>
      </c>
      <c r="I12" s="157"/>
      <c r="J12" s="136">
        <f t="shared" si="1"/>
        <v>0</v>
      </c>
      <c r="K12" s="157" t="str">
        <f t="shared" si="2"/>
        <v/>
      </c>
    </row>
    <row r="13" spans="1:11">
      <c r="A13" s="133" t="s">
        <v>16</v>
      </c>
      <c r="B13" s="134">
        <f t="shared" ref="B13" si="6">B14+B17+B20</f>
        <v>11970000</v>
      </c>
      <c r="C13" s="134"/>
      <c r="D13" s="134">
        <f>D14+D20</f>
        <v>1100000</v>
      </c>
      <c r="E13" s="684">
        <f t="shared" ref="E13" si="7">E14+E17+E20</f>
        <v>1000000</v>
      </c>
      <c r="F13" s="684">
        <f t="shared" si="3"/>
        <v>14070000</v>
      </c>
      <c r="G13" s="684">
        <f t="shared" ref="G13" si="8">G14+G17+G20</f>
        <v>14170000</v>
      </c>
      <c r="H13" s="134">
        <f t="shared" si="4"/>
        <v>2200000</v>
      </c>
      <c r="I13" s="156">
        <f t="shared" si="5"/>
        <v>0.18379281537176273</v>
      </c>
      <c r="J13" s="134">
        <f t="shared" si="1"/>
        <v>100000</v>
      </c>
      <c r="K13" s="156">
        <f t="shared" si="2"/>
        <v>7.1073205401563609E-3</v>
      </c>
    </row>
    <row r="14" spans="1:11">
      <c r="A14" s="140" t="s">
        <v>28</v>
      </c>
      <c r="B14" s="141">
        <f>B15</f>
        <v>5000000</v>
      </c>
      <c r="C14" s="141"/>
      <c r="D14" s="141">
        <f>D15</f>
        <v>100000</v>
      </c>
      <c r="E14" s="564">
        <f>E15</f>
        <v>400000</v>
      </c>
      <c r="F14" s="564">
        <f t="shared" si="3"/>
        <v>5500000</v>
      </c>
      <c r="G14" s="564">
        <f>G15</f>
        <v>5500000</v>
      </c>
      <c r="H14" s="141">
        <f t="shared" si="4"/>
        <v>500000</v>
      </c>
      <c r="I14" s="158">
        <f t="shared" si="5"/>
        <v>0.1</v>
      </c>
      <c r="J14" s="141">
        <f t="shared" si="1"/>
        <v>0</v>
      </c>
      <c r="K14" s="158">
        <f t="shared" si="2"/>
        <v>0</v>
      </c>
    </row>
    <row r="15" spans="1:11">
      <c r="A15" s="137" t="s">
        <v>609</v>
      </c>
      <c r="B15" s="138">
        <v>5000000</v>
      </c>
      <c r="C15" s="138"/>
      <c r="D15" s="138">
        <v>100000</v>
      </c>
      <c r="E15" s="4">
        <v>400000</v>
      </c>
      <c r="F15" s="4">
        <f t="shared" si="3"/>
        <v>5500000</v>
      </c>
      <c r="G15" s="4">
        <v>5500000</v>
      </c>
      <c r="H15" s="138">
        <f t="shared" si="4"/>
        <v>500000</v>
      </c>
      <c r="I15" s="481">
        <f t="shared" si="5"/>
        <v>0.1</v>
      </c>
      <c r="J15" s="138">
        <f t="shared" si="1"/>
        <v>0</v>
      </c>
      <c r="K15" s="481">
        <f t="shared" si="2"/>
        <v>0</v>
      </c>
    </row>
    <row r="16" spans="1:11">
      <c r="A16" s="142"/>
      <c r="B16" s="143"/>
      <c r="C16" s="143"/>
      <c r="D16" s="143"/>
      <c r="E16" s="539"/>
      <c r="F16" s="539">
        <f t="shared" si="3"/>
        <v>0</v>
      </c>
      <c r="G16" s="539"/>
      <c r="H16" s="143">
        <f t="shared" si="4"/>
        <v>0</v>
      </c>
      <c r="I16" s="159"/>
      <c r="J16" s="143">
        <f t="shared" si="1"/>
        <v>0</v>
      </c>
      <c r="K16" s="159" t="str">
        <f t="shared" si="2"/>
        <v/>
      </c>
    </row>
    <row r="17" spans="1:11">
      <c r="A17" s="140" t="s">
        <v>65</v>
      </c>
      <c r="B17" s="141">
        <f t="shared" ref="B17" si="9">B18</f>
        <v>1470000</v>
      </c>
      <c r="C17" s="141"/>
      <c r="D17" s="75"/>
      <c r="E17" s="564">
        <f t="shared" ref="E17" si="10">E18</f>
        <v>400000</v>
      </c>
      <c r="F17" s="564">
        <f t="shared" si="3"/>
        <v>1870000</v>
      </c>
      <c r="G17" s="564">
        <f t="shared" ref="G17" si="11">G18</f>
        <v>1870000</v>
      </c>
      <c r="H17" s="141">
        <f t="shared" si="4"/>
        <v>400000</v>
      </c>
      <c r="I17" s="478">
        <f t="shared" si="5"/>
        <v>0.27210884353741499</v>
      </c>
      <c r="J17" s="141">
        <f t="shared" si="1"/>
        <v>0</v>
      </c>
      <c r="K17" s="478">
        <f t="shared" si="2"/>
        <v>0</v>
      </c>
    </row>
    <row r="18" spans="1:11">
      <c r="A18" s="144" t="s">
        <v>35</v>
      </c>
      <c r="B18" s="143">
        <f>850000+500000+80000+40000</f>
        <v>1470000</v>
      </c>
      <c r="C18" s="143"/>
      <c r="D18" s="75"/>
      <c r="E18" s="4">
        <v>400000</v>
      </c>
      <c r="F18" s="539">
        <f t="shared" si="3"/>
        <v>1870000</v>
      </c>
      <c r="G18" s="539">
        <v>1870000</v>
      </c>
      <c r="H18" s="143">
        <f t="shared" si="4"/>
        <v>400000</v>
      </c>
      <c r="I18" s="523">
        <f t="shared" si="5"/>
        <v>0.27210884353741499</v>
      </c>
      <c r="J18" s="143">
        <f t="shared" si="1"/>
        <v>0</v>
      </c>
      <c r="K18" s="523">
        <f t="shared" si="2"/>
        <v>0</v>
      </c>
    </row>
    <row r="19" spans="1:11">
      <c r="A19" s="142"/>
      <c r="B19" s="143"/>
      <c r="C19" s="143"/>
      <c r="D19" s="141"/>
      <c r="E19" s="564"/>
      <c r="F19" s="539">
        <f t="shared" si="3"/>
        <v>0</v>
      </c>
      <c r="G19" s="539"/>
      <c r="H19" s="143">
        <f t="shared" si="4"/>
        <v>0</v>
      </c>
      <c r="I19" s="523"/>
      <c r="J19" s="143">
        <f t="shared" si="1"/>
        <v>0</v>
      </c>
      <c r="K19" s="523" t="str">
        <f t="shared" si="2"/>
        <v/>
      </c>
    </row>
    <row r="20" spans="1:11">
      <c r="A20" s="140" t="s">
        <v>29</v>
      </c>
      <c r="B20" s="141">
        <f t="shared" ref="B20" si="12">B21</f>
        <v>5500000</v>
      </c>
      <c r="C20" s="141"/>
      <c r="D20" s="141">
        <f>SUM(D21)</f>
        <v>1000000</v>
      </c>
      <c r="E20" s="564">
        <f>E21</f>
        <v>200000</v>
      </c>
      <c r="F20" s="564">
        <f t="shared" si="3"/>
        <v>6700000</v>
      </c>
      <c r="G20" s="564">
        <f t="shared" ref="G20" si="13">G21</f>
        <v>6800000</v>
      </c>
      <c r="H20" s="141">
        <f t="shared" si="4"/>
        <v>1300000</v>
      </c>
      <c r="I20" s="478">
        <f t="shared" si="5"/>
        <v>0.23636363636363636</v>
      </c>
      <c r="J20" s="141">
        <f t="shared" si="1"/>
        <v>100000</v>
      </c>
      <c r="K20" s="478">
        <f t="shared" si="2"/>
        <v>1.4925373134328358E-2</v>
      </c>
    </row>
    <row r="21" spans="1:11">
      <c r="A21" s="144" t="s">
        <v>35</v>
      </c>
      <c r="B21" s="143">
        <v>5500000</v>
      </c>
      <c r="C21" s="143"/>
      <c r="D21" s="143">
        <v>1000000</v>
      </c>
      <c r="E21" s="539">
        <v>200000</v>
      </c>
      <c r="F21" s="539">
        <f t="shared" si="3"/>
        <v>6700000</v>
      </c>
      <c r="G21" s="539">
        <v>6800000</v>
      </c>
      <c r="H21" s="143">
        <f t="shared" si="4"/>
        <v>1300000</v>
      </c>
      <c r="I21" s="523">
        <f t="shared" si="5"/>
        <v>0.23636363636363636</v>
      </c>
      <c r="J21" s="143">
        <f t="shared" si="1"/>
        <v>100000</v>
      </c>
      <c r="K21" s="523">
        <f t="shared" si="2"/>
        <v>1.4925373134328358E-2</v>
      </c>
    </row>
    <row r="22" spans="1:11">
      <c r="A22" s="145"/>
      <c r="B22" s="143"/>
      <c r="C22" s="143"/>
      <c r="D22" s="141"/>
      <c r="E22" s="564"/>
      <c r="F22" s="539">
        <f t="shared" si="3"/>
        <v>0</v>
      </c>
      <c r="G22" s="539"/>
      <c r="H22" s="143">
        <f t="shared" si="4"/>
        <v>0</v>
      </c>
      <c r="I22" s="159"/>
      <c r="J22" s="143">
        <f t="shared" si="1"/>
        <v>0</v>
      </c>
      <c r="K22" s="159" t="str">
        <f t="shared" si="2"/>
        <v/>
      </c>
    </row>
    <row r="23" spans="1:11">
      <c r="A23" s="133" t="s">
        <v>17</v>
      </c>
      <c r="B23" s="134">
        <f>SUM(B24:B27)</f>
        <v>493024</v>
      </c>
      <c r="C23" s="134"/>
      <c r="D23" s="141"/>
      <c r="E23" s="684">
        <f>SUM(E24:E27)</f>
        <v>50000</v>
      </c>
      <c r="F23" s="684">
        <f t="shared" si="3"/>
        <v>543024</v>
      </c>
      <c r="G23" s="684">
        <f>SUM(G24:G27)</f>
        <v>513024</v>
      </c>
      <c r="H23" s="134">
        <f t="shared" si="4"/>
        <v>20000</v>
      </c>
      <c r="I23" s="156">
        <f t="shared" si="5"/>
        <v>4.0565976504186411E-2</v>
      </c>
      <c r="J23" s="134">
        <f t="shared" si="1"/>
        <v>-30000</v>
      </c>
      <c r="K23" s="156">
        <f t="shared" si="2"/>
        <v>-5.5246176964554056E-2</v>
      </c>
    </row>
    <row r="24" spans="1:11">
      <c r="A24" s="144" t="s">
        <v>604</v>
      </c>
      <c r="B24" s="143">
        <v>2800</v>
      </c>
      <c r="C24" s="143"/>
      <c r="D24" s="141"/>
      <c r="E24" s="564"/>
      <c r="F24" s="539">
        <f t="shared" si="3"/>
        <v>2800</v>
      </c>
      <c r="G24" s="539">
        <v>2800</v>
      </c>
      <c r="H24" s="143">
        <f t="shared" si="4"/>
        <v>0</v>
      </c>
      <c r="I24" s="159">
        <f t="shared" si="5"/>
        <v>0</v>
      </c>
      <c r="J24" s="143">
        <f t="shared" si="1"/>
        <v>0</v>
      </c>
      <c r="K24" s="159">
        <f t="shared" si="2"/>
        <v>0</v>
      </c>
    </row>
    <row r="25" spans="1:11">
      <c r="A25" s="144" t="s">
        <v>35</v>
      </c>
      <c r="B25" s="143">
        <v>224</v>
      </c>
      <c r="C25" s="143"/>
      <c r="D25" s="141"/>
      <c r="E25" s="564"/>
      <c r="F25" s="539">
        <f t="shared" si="3"/>
        <v>224</v>
      </c>
      <c r="G25" s="539">
        <v>224</v>
      </c>
      <c r="H25" s="143">
        <f t="shared" si="4"/>
        <v>0</v>
      </c>
      <c r="I25" s="159">
        <f t="shared" si="5"/>
        <v>0</v>
      </c>
      <c r="J25" s="143">
        <f t="shared" si="1"/>
        <v>0</v>
      </c>
      <c r="K25" s="159">
        <f t="shared" si="2"/>
        <v>0</v>
      </c>
    </row>
    <row r="26" spans="1:11">
      <c r="A26" s="144" t="s">
        <v>40</v>
      </c>
      <c r="B26" s="143">
        <v>60000</v>
      </c>
      <c r="C26" s="143"/>
      <c r="D26" s="141"/>
      <c r="E26" s="564">
        <v>50000</v>
      </c>
      <c r="F26" s="539">
        <f t="shared" si="3"/>
        <v>110000</v>
      </c>
      <c r="G26" s="539">
        <v>80000</v>
      </c>
      <c r="H26" s="143">
        <f t="shared" si="4"/>
        <v>20000</v>
      </c>
      <c r="I26" s="523">
        <f t="shared" si="5"/>
        <v>0.33333333333333331</v>
      </c>
      <c r="J26" s="143">
        <f t="shared" si="1"/>
        <v>-30000</v>
      </c>
      <c r="K26" s="523">
        <f t="shared" si="2"/>
        <v>-0.27272727272727271</v>
      </c>
    </row>
    <row r="27" spans="1:11">
      <c r="A27" s="137" t="s">
        <v>36</v>
      </c>
      <c r="B27" s="138">
        <v>430000</v>
      </c>
      <c r="C27" s="138"/>
      <c r="D27" s="141"/>
      <c r="E27" s="564"/>
      <c r="F27" s="4">
        <f t="shared" si="3"/>
        <v>430000</v>
      </c>
      <c r="G27" s="4">
        <v>430000</v>
      </c>
      <c r="H27" s="138">
        <f t="shared" si="4"/>
        <v>0</v>
      </c>
      <c r="I27" s="481">
        <f t="shared" si="5"/>
        <v>0</v>
      </c>
      <c r="J27" s="138">
        <f t="shared" si="1"/>
        <v>0</v>
      </c>
      <c r="K27" s="481">
        <f t="shared" si="2"/>
        <v>0</v>
      </c>
    </row>
    <row r="28" spans="1:11">
      <c r="A28" s="145"/>
      <c r="B28" s="143"/>
      <c r="C28" s="143"/>
      <c r="D28" s="141"/>
      <c r="E28" s="564"/>
      <c r="F28" s="539">
        <f t="shared" si="3"/>
        <v>0</v>
      </c>
      <c r="G28" s="539"/>
      <c r="H28" s="143">
        <f t="shared" si="4"/>
        <v>0</v>
      </c>
      <c r="I28" s="159"/>
      <c r="J28" s="143">
        <f t="shared" si="1"/>
        <v>0</v>
      </c>
      <c r="K28" s="159" t="str">
        <f t="shared" si="2"/>
        <v/>
      </c>
    </row>
    <row r="29" spans="1:11">
      <c r="A29" s="146" t="s">
        <v>58</v>
      </c>
      <c r="B29" s="123">
        <f>B30+B32</f>
        <v>852000</v>
      </c>
      <c r="C29" s="123"/>
      <c r="D29" s="141"/>
      <c r="E29" s="564"/>
      <c r="F29" s="689">
        <f t="shared" si="3"/>
        <v>852000</v>
      </c>
      <c r="G29" s="690">
        <f>G30+G32</f>
        <v>752000</v>
      </c>
      <c r="H29" s="123">
        <f t="shared" si="4"/>
        <v>-100000</v>
      </c>
      <c r="I29" s="160">
        <f t="shared" si="5"/>
        <v>-0.11737089201877934</v>
      </c>
      <c r="J29" s="123">
        <f t="shared" si="1"/>
        <v>-100000</v>
      </c>
      <c r="K29" s="160">
        <f t="shared" si="2"/>
        <v>-0.11737089201877934</v>
      </c>
    </row>
    <row r="30" spans="1:11">
      <c r="A30" s="147" t="s">
        <v>37</v>
      </c>
      <c r="B30" s="136">
        <f>B31</f>
        <v>487000</v>
      </c>
      <c r="C30" s="136"/>
      <c r="D30" s="141"/>
      <c r="E30" s="564"/>
      <c r="F30" s="508">
        <f t="shared" si="3"/>
        <v>487000</v>
      </c>
      <c r="G30" s="4">
        <f>SUM(G31)</f>
        <v>528000</v>
      </c>
      <c r="H30" s="136">
        <f t="shared" si="4"/>
        <v>41000</v>
      </c>
      <c r="I30" s="157">
        <f t="shared" si="5"/>
        <v>8.4188911704312114E-2</v>
      </c>
      <c r="J30" s="136">
        <f t="shared" si="1"/>
        <v>41000</v>
      </c>
      <c r="K30" s="157">
        <f t="shared" si="2"/>
        <v>8.4188911704312114E-2</v>
      </c>
    </row>
    <row r="31" spans="1:11">
      <c r="A31" s="137" t="s">
        <v>38</v>
      </c>
      <c r="B31" s="138">
        <v>487000</v>
      </c>
      <c r="C31" s="138"/>
      <c r="D31" s="141"/>
      <c r="E31" s="564"/>
      <c r="F31" s="4">
        <f t="shared" si="3"/>
        <v>487000</v>
      </c>
      <c r="G31" s="4">
        <v>528000</v>
      </c>
      <c r="H31" s="138">
        <f t="shared" si="4"/>
        <v>41000</v>
      </c>
      <c r="I31" s="91">
        <f t="shared" si="5"/>
        <v>8.4188911704312114E-2</v>
      </c>
      <c r="J31" s="138">
        <f t="shared" si="1"/>
        <v>41000</v>
      </c>
      <c r="K31" s="91">
        <f t="shared" si="2"/>
        <v>8.4188911704312114E-2</v>
      </c>
    </row>
    <row r="32" spans="1:11">
      <c r="A32" s="147" t="s">
        <v>39</v>
      </c>
      <c r="B32" s="136">
        <f t="shared" ref="B32" si="14">B33</f>
        <v>365000</v>
      </c>
      <c r="C32" s="136"/>
      <c r="D32" s="141"/>
      <c r="E32" s="564"/>
      <c r="F32" s="508">
        <f t="shared" si="3"/>
        <v>365000</v>
      </c>
      <c r="G32" s="691">
        <f>SUM(G33)</f>
        <v>224000</v>
      </c>
      <c r="H32" s="136">
        <f t="shared" si="4"/>
        <v>-141000</v>
      </c>
      <c r="I32" s="157">
        <f t="shared" si="5"/>
        <v>-0.38630136986301372</v>
      </c>
      <c r="J32" s="136">
        <f t="shared" si="1"/>
        <v>-141000</v>
      </c>
      <c r="K32" s="157">
        <f t="shared" si="2"/>
        <v>-0.38630136986301372</v>
      </c>
    </row>
    <row r="33" spans="1:11">
      <c r="A33" s="137" t="s">
        <v>38</v>
      </c>
      <c r="B33" s="138">
        <v>365000</v>
      </c>
      <c r="C33" s="138"/>
      <c r="D33" s="141"/>
      <c r="E33" s="564"/>
      <c r="F33" s="4">
        <f t="shared" si="3"/>
        <v>365000</v>
      </c>
      <c r="G33" s="4">
        <v>224000</v>
      </c>
      <c r="H33" s="138">
        <f t="shared" si="4"/>
        <v>-141000</v>
      </c>
      <c r="I33" s="91">
        <f t="shared" si="5"/>
        <v>-0.38630136986301372</v>
      </c>
      <c r="J33" s="138">
        <f t="shared" si="1"/>
        <v>-141000</v>
      </c>
      <c r="K33" s="91">
        <f t="shared" si="2"/>
        <v>-0.38630136986301372</v>
      </c>
    </row>
    <row r="34" spans="1:11">
      <c r="A34" s="140"/>
      <c r="B34" s="141"/>
      <c r="C34" s="141"/>
      <c r="D34" s="141"/>
      <c r="E34" s="564"/>
      <c r="F34" s="564">
        <f t="shared" si="3"/>
        <v>0</v>
      </c>
      <c r="G34" s="564"/>
      <c r="H34" s="141">
        <f t="shared" si="4"/>
        <v>0</v>
      </c>
      <c r="I34" s="158"/>
      <c r="J34" s="141">
        <f t="shared" si="1"/>
        <v>0</v>
      </c>
      <c r="K34" s="158" t="str">
        <f t="shared" si="2"/>
        <v/>
      </c>
    </row>
    <row r="35" spans="1:11">
      <c r="A35" s="133" t="s">
        <v>18</v>
      </c>
      <c r="B35" s="134">
        <f>B37+B42</f>
        <v>676000</v>
      </c>
      <c r="C35" s="134"/>
      <c r="D35" s="134">
        <f>D37+D42</f>
        <v>426308</v>
      </c>
      <c r="E35" s="684">
        <f>E37+E42</f>
        <v>140005</v>
      </c>
      <c r="F35" s="684">
        <f t="shared" si="3"/>
        <v>1242313</v>
      </c>
      <c r="G35" s="684">
        <f>G37+G42</f>
        <v>740000</v>
      </c>
      <c r="H35" s="134">
        <f t="shared" si="4"/>
        <v>64000</v>
      </c>
      <c r="I35" s="156">
        <f t="shared" si="5"/>
        <v>9.4674556213017749E-2</v>
      </c>
      <c r="J35" s="134">
        <f t="shared" si="1"/>
        <v>-502313</v>
      </c>
      <c r="K35" s="156">
        <f t="shared" si="2"/>
        <v>-0.40433691026335555</v>
      </c>
    </row>
    <row r="36" spans="1:11">
      <c r="A36" s="145"/>
      <c r="B36" s="143"/>
      <c r="C36" s="143"/>
      <c r="D36" s="143"/>
      <c r="E36" s="539"/>
      <c r="F36" s="539">
        <f t="shared" si="3"/>
        <v>0</v>
      </c>
      <c r="G36" s="539"/>
      <c r="H36" s="143">
        <f t="shared" si="4"/>
        <v>0</v>
      </c>
      <c r="I36" s="159"/>
      <c r="J36" s="143">
        <f t="shared" si="1"/>
        <v>0</v>
      </c>
      <c r="K36" s="159" t="str">
        <f t="shared" si="2"/>
        <v/>
      </c>
    </row>
    <row r="37" spans="1:11">
      <c r="A37" s="140" t="s">
        <v>30</v>
      </c>
      <c r="B37" s="141">
        <f t="shared" ref="B37" si="15">B38+B39</f>
        <v>636000</v>
      </c>
      <c r="C37" s="141"/>
      <c r="D37" s="141">
        <f>SUM(D40:D40)</f>
        <v>200</v>
      </c>
      <c r="E37" s="564">
        <f>E40</f>
        <v>-200</v>
      </c>
      <c r="F37" s="564">
        <f t="shared" si="3"/>
        <v>636000</v>
      </c>
      <c r="G37" s="564">
        <f t="shared" ref="G37" si="16">G38+G39</f>
        <v>700000</v>
      </c>
      <c r="H37" s="141">
        <f t="shared" si="4"/>
        <v>64000</v>
      </c>
      <c r="I37" s="478">
        <f t="shared" si="5"/>
        <v>0.10062893081761007</v>
      </c>
      <c r="J37" s="141">
        <f t="shared" si="1"/>
        <v>64000</v>
      </c>
      <c r="K37" s="478">
        <f t="shared" si="2"/>
        <v>0.10062893081761007</v>
      </c>
    </row>
    <row r="38" spans="1:11">
      <c r="A38" s="137" t="s">
        <v>35</v>
      </c>
      <c r="B38" s="138">
        <v>16000</v>
      </c>
      <c r="C38" s="138"/>
      <c r="D38" s="141"/>
      <c r="E38" s="564"/>
      <c r="F38" s="4">
        <f t="shared" si="3"/>
        <v>16000</v>
      </c>
      <c r="G38" s="4">
        <f>16000+2000+12000</f>
        <v>30000</v>
      </c>
      <c r="H38" s="138">
        <f t="shared" si="4"/>
        <v>14000</v>
      </c>
      <c r="I38" s="481">
        <f t="shared" si="5"/>
        <v>0.875</v>
      </c>
      <c r="J38" s="138">
        <f t="shared" si="1"/>
        <v>14000</v>
      </c>
      <c r="K38" s="481">
        <f t="shared" si="2"/>
        <v>0.875</v>
      </c>
    </row>
    <row r="39" spans="1:11">
      <c r="A39" s="137" t="s">
        <v>40</v>
      </c>
      <c r="B39" s="138">
        <v>620000</v>
      </c>
      <c r="C39" s="138"/>
      <c r="D39" s="141"/>
      <c r="E39" s="564"/>
      <c r="F39" s="4">
        <f t="shared" si="3"/>
        <v>620000</v>
      </c>
      <c r="G39" s="4">
        <v>670000</v>
      </c>
      <c r="H39" s="138">
        <f t="shared" si="4"/>
        <v>50000</v>
      </c>
      <c r="I39" s="481">
        <f t="shared" si="5"/>
        <v>8.0645161290322578E-2</v>
      </c>
      <c r="J39" s="138">
        <f t="shared" si="1"/>
        <v>50000</v>
      </c>
      <c r="K39" s="481">
        <f t="shared" si="2"/>
        <v>8.0645161290322578E-2</v>
      </c>
    </row>
    <row r="40" spans="1:11">
      <c r="A40" s="137" t="s">
        <v>587</v>
      </c>
      <c r="B40" s="143"/>
      <c r="C40" s="143"/>
      <c r="D40" s="138">
        <v>200</v>
      </c>
      <c r="E40" s="4">
        <v>-200</v>
      </c>
      <c r="F40" s="4">
        <f t="shared" si="3"/>
        <v>0</v>
      </c>
      <c r="G40" s="539"/>
      <c r="H40" s="138">
        <f t="shared" si="4"/>
        <v>0</v>
      </c>
      <c r="I40" s="481"/>
      <c r="J40" s="138">
        <f t="shared" si="1"/>
        <v>0</v>
      </c>
      <c r="K40" s="481" t="str">
        <f t="shared" si="2"/>
        <v/>
      </c>
    </row>
    <row r="41" spans="1:11">
      <c r="A41" s="142"/>
      <c r="B41" s="143"/>
      <c r="C41" s="143"/>
      <c r="D41" s="138"/>
      <c r="E41" s="4"/>
      <c r="F41" s="539">
        <f t="shared" si="3"/>
        <v>0</v>
      </c>
      <c r="G41" s="539"/>
      <c r="H41" s="143">
        <f t="shared" si="4"/>
        <v>0</v>
      </c>
      <c r="I41" s="159"/>
      <c r="J41" s="143">
        <f t="shared" si="1"/>
        <v>0</v>
      </c>
      <c r="K41" s="159" t="str">
        <f t="shared" si="2"/>
        <v/>
      </c>
    </row>
    <row r="42" spans="1:11">
      <c r="A42" s="140" t="s">
        <v>57</v>
      </c>
      <c r="B42" s="141">
        <f>B43</f>
        <v>40000</v>
      </c>
      <c r="C42" s="141"/>
      <c r="D42" s="141">
        <f>D46+D48+D52+D56</f>
        <v>426108</v>
      </c>
      <c r="E42" s="564">
        <f>E43+E46+E48+E50+E52+E56</f>
        <v>140205</v>
      </c>
      <c r="F42" s="564">
        <f t="shared" si="3"/>
        <v>606313</v>
      </c>
      <c r="G42" s="564">
        <f>G43</f>
        <v>40000</v>
      </c>
      <c r="H42" s="141">
        <f t="shared" si="4"/>
        <v>0</v>
      </c>
      <c r="I42" s="158">
        <f t="shared" si="5"/>
        <v>0</v>
      </c>
      <c r="J42" s="141">
        <f t="shared" si="1"/>
        <v>-566313</v>
      </c>
      <c r="K42" s="158">
        <f t="shared" si="2"/>
        <v>-0.93402747425834509</v>
      </c>
    </row>
    <row r="43" spans="1:11">
      <c r="A43" s="148" t="s">
        <v>6</v>
      </c>
      <c r="B43" s="141">
        <f>B44+B45</f>
        <v>40000</v>
      </c>
      <c r="C43" s="141"/>
      <c r="D43" s="141"/>
      <c r="E43" s="564"/>
      <c r="F43" s="564">
        <f t="shared" si="3"/>
        <v>40000</v>
      </c>
      <c r="G43" s="564">
        <f>G44+G45</f>
        <v>40000</v>
      </c>
      <c r="H43" s="141">
        <f t="shared" si="4"/>
        <v>0</v>
      </c>
      <c r="I43" s="158">
        <f t="shared" si="5"/>
        <v>0</v>
      </c>
      <c r="J43" s="141">
        <f t="shared" si="1"/>
        <v>0</v>
      </c>
      <c r="K43" s="158">
        <f t="shared" si="2"/>
        <v>0</v>
      </c>
    </row>
    <row r="44" spans="1:11">
      <c r="A44" s="149" t="s">
        <v>609</v>
      </c>
      <c r="B44" s="138">
        <v>15000</v>
      </c>
      <c r="C44" s="138"/>
      <c r="D44" s="141"/>
      <c r="E44" s="564"/>
      <c r="F44" s="4">
        <f t="shared" si="3"/>
        <v>15000</v>
      </c>
      <c r="G44" s="4">
        <v>15000</v>
      </c>
      <c r="H44" s="138">
        <f t="shared" si="4"/>
        <v>0</v>
      </c>
      <c r="I44" s="91">
        <f t="shared" si="5"/>
        <v>0</v>
      </c>
      <c r="J44" s="138">
        <f t="shared" si="1"/>
        <v>0</v>
      </c>
      <c r="K44" s="91">
        <f t="shared" si="2"/>
        <v>0</v>
      </c>
    </row>
    <row r="45" spans="1:11">
      <c r="A45" s="149" t="s">
        <v>36</v>
      </c>
      <c r="B45" s="138">
        <v>25000</v>
      </c>
      <c r="C45" s="138"/>
      <c r="D45" s="141"/>
      <c r="E45" s="564"/>
      <c r="F45" s="4">
        <f t="shared" si="3"/>
        <v>25000</v>
      </c>
      <c r="G45" s="4">
        <v>25000</v>
      </c>
      <c r="H45" s="138">
        <f t="shared" si="4"/>
        <v>0</v>
      </c>
      <c r="I45" s="91">
        <f t="shared" si="5"/>
        <v>0</v>
      </c>
      <c r="J45" s="138">
        <f t="shared" si="1"/>
        <v>0</v>
      </c>
      <c r="K45" s="91">
        <f t="shared" si="2"/>
        <v>0</v>
      </c>
    </row>
    <row r="46" spans="1:11">
      <c r="A46" s="150" t="s">
        <v>749</v>
      </c>
      <c r="B46" s="143"/>
      <c r="C46" s="143"/>
      <c r="D46" s="151">
        <f>SUM(D47)</f>
        <v>300000</v>
      </c>
      <c r="E46" s="692">
        <f>SUM(E47)</f>
        <v>28000</v>
      </c>
      <c r="F46" s="539">
        <f t="shared" si="3"/>
        <v>328000</v>
      </c>
      <c r="G46" s="539"/>
      <c r="H46" s="143">
        <f t="shared" si="4"/>
        <v>0</v>
      </c>
      <c r="I46" s="159"/>
      <c r="J46" s="143">
        <f t="shared" si="1"/>
        <v>0</v>
      </c>
      <c r="K46" s="159" t="str">
        <f t="shared" si="2"/>
        <v/>
      </c>
    </row>
    <row r="47" spans="1:11">
      <c r="A47" s="79" t="s">
        <v>404</v>
      </c>
      <c r="B47" s="143"/>
      <c r="C47" s="143"/>
      <c r="D47" s="152">
        <v>300000</v>
      </c>
      <c r="E47" s="693">
        <v>28000</v>
      </c>
      <c r="F47" s="539">
        <f t="shared" si="3"/>
        <v>328000</v>
      </c>
      <c r="G47" s="539"/>
      <c r="H47" s="143">
        <f t="shared" si="4"/>
        <v>0</v>
      </c>
      <c r="I47" s="159"/>
      <c r="J47" s="143">
        <f t="shared" si="1"/>
        <v>0</v>
      </c>
      <c r="K47" s="159" t="str">
        <f t="shared" si="2"/>
        <v/>
      </c>
    </row>
    <row r="48" spans="1:11">
      <c r="A48" s="148" t="s">
        <v>750</v>
      </c>
      <c r="B48" s="143"/>
      <c r="C48" s="143"/>
      <c r="D48" s="141">
        <f>SUM(D49)</f>
        <v>6010</v>
      </c>
      <c r="E48" s="564"/>
      <c r="F48" s="539">
        <f t="shared" si="3"/>
        <v>6010</v>
      </c>
      <c r="G48" s="539"/>
      <c r="H48" s="143">
        <f t="shared" si="4"/>
        <v>0</v>
      </c>
      <c r="I48" s="159"/>
      <c r="J48" s="143">
        <f t="shared" si="1"/>
        <v>0</v>
      </c>
      <c r="K48" s="159" t="str">
        <f t="shared" si="2"/>
        <v/>
      </c>
    </row>
    <row r="49" spans="1:11">
      <c r="A49" s="79" t="s">
        <v>175</v>
      </c>
      <c r="B49" s="143"/>
      <c r="C49" s="143"/>
      <c r="D49" s="138">
        <v>6010</v>
      </c>
      <c r="E49" s="4"/>
      <c r="F49" s="539">
        <f t="shared" si="3"/>
        <v>6010</v>
      </c>
      <c r="G49" s="539"/>
      <c r="H49" s="143">
        <f t="shared" si="4"/>
        <v>0</v>
      </c>
      <c r="I49" s="159"/>
      <c r="J49" s="143">
        <f t="shared" si="1"/>
        <v>0</v>
      </c>
      <c r="K49" s="159" t="str">
        <f t="shared" si="2"/>
        <v/>
      </c>
    </row>
    <row r="50" spans="1:11">
      <c r="A50" s="148" t="s">
        <v>1172</v>
      </c>
      <c r="B50" s="143"/>
      <c r="C50" s="143"/>
      <c r="D50" s="138"/>
      <c r="E50" s="4">
        <f>E51</f>
        <v>198</v>
      </c>
      <c r="F50" s="539">
        <f t="shared" si="3"/>
        <v>198</v>
      </c>
      <c r="G50" s="539"/>
      <c r="H50" s="143">
        <f t="shared" si="4"/>
        <v>0</v>
      </c>
      <c r="I50" s="159"/>
      <c r="J50" s="143"/>
      <c r="K50" s="159"/>
    </row>
    <row r="51" spans="1:11">
      <c r="A51" s="137" t="s">
        <v>48</v>
      </c>
      <c r="B51" s="143"/>
      <c r="C51" s="143"/>
      <c r="D51" s="138"/>
      <c r="E51" s="4">
        <v>198</v>
      </c>
      <c r="F51" s="539">
        <f t="shared" si="3"/>
        <v>198</v>
      </c>
      <c r="G51" s="539"/>
      <c r="H51" s="143">
        <f t="shared" si="4"/>
        <v>0</v>
      </c>
      <c r="I51" s="159"/>
      <c r="J51" s="143"/>
      <c r="K51" s="159"/>
    </row>
    <row r="52" spans="1:11" s="75" customFormat="1">
      <c r="A52" s="148" t="s">
        <v>751</v>
      </c>
      <c r="B52" s="143"/>
      <c r="C52" s="143"/>
      <c r="D52" s="141">
        <f>D53</f>
        <v>29990</v>
      </c>
      <c r="E52" s="564">
        <f>SUM(E53:E55)</f>
        <v>71870</v>
      </c>
      <c r="F52" s="539">
        <f t="shared" si="3"/>
        <v>101860</v>
      </c>
      <c r="G52" s="539"/>
      <c r="H52" s="143">
        <f t="shared" si="4"/>
        <v>0</v>
      </c>
      <c r="I52" s="159"/>
      <c r="J52" s="143">
        <f>IF(G52=0,0,G52-F52)</f>
        <v>0</v>
      </c>
      <c r="K52" s="159" t="str">
        <f>IF(G52=0,"",J52/F52)</f>
        <v/>
      </c>
    </row>
    <row r="53" spans="1:11" s="75" customFormat="1">
      <c r="A53" s="137" t="s">
        <v>48</v>
      </c>
      <c r="B53" s="143"/>
      <c r="C53" s="143"/>
      <c r="D53" s="138">
        <v>29990</v>
      </c>
      <c r="E53" s="4"/>
      <c r="F53" s="539">
        <f t="shared" si="3"/>
        <v>29990</v>
      </c>
      <c r="G53" s="539"/>
      <c r="H53" s="143">
        <f t="shared" si="4"/>
        <v>0</v>
      </c>
      <c r="I53" s="159"/>
      <c r="J53" s="143">
        <f>IF(G53=0,0,G53-F53)</f>
        <v>0</v>
      </c>
      <c r="K53" s="159" t="str">
        <f>IF(G53=0,"",J53/F53)</f>
        <v/>
      </c>
    </row>
    <row r="54" spans="1:11" s="75" customFormat="1">
      <c r="A54" s="137" t="s">
        <v>38</v>
      </c>
      <c r="B54" s="143"/>
      <c r="C54" s="143"/>
      <c r="D54" s="138"/>
      <c r="E54" s="694">
        <v>70000</v>
      </c>
      <c r="F54" s="539">
        <f t="shared" si="3"/>
        <v>70000</v>
      </c>
      <c r="G54" s="539"/>
      <c r="H54" s="143">
        <f t="shared" si="4"/>
        <v>0</v>
      </c>
      <c r="I54" s="523"/>
      <c r="J54" s="143"/>
      <c r="K54" s="523"/>
    </row>
    <row r="55" spans="1:11" s="75" customFormat="1">
      <c r="A55" s="137" t="s">
        <v>1173</v>
      </c>
      <c r="B55" s="143"/>
      <c r="C55" s="143"/>
      <c r="D55" s="138"/>
      <c r="E55" s="4">
        <v>1870</v>
      </c>
      <c r="F55" s="539">
        <f t="shared" si="3"/>
        <v>1870</v>
      </c>
      <c r="G55" s="539"/>
      <c r="H55" s="143">
        <f t="shared" si="4"/>
        <v>0</v>
      </c>
      <c r="I55" s="159"/>
      <c r="J55" s="143"/>
      <c r="K55" s="159"/>
    </row>
    <row r="56" spans="1:11">
      <c r="A56" s="148" t="s">
        <v>7</v>
      </c>
      <c r="B56" s="143"/>
      <c r="C56" s="143"/>
      <c r="D56" s="141">
        <f>D57+D58+D59</f>
        <v>90108</v>
      </c>
      <c r="E56" s="564">
        <f>SUM(E57:E60)</f>
        <v>40137</v>
      </c>
      <c r="F56" s="539">
        <f t="shared" si="3"/>
        <v>130245</v>
      </c>
      <c r="G56" s="539"/>
      <c r="H56" s="143">
        <f t="shared" si="4"/>
        <v>0</v>
      </c>
      <c r="I56" s="159"/>
      <c r="J56" s="143">
        <f>IF(G56=0,0,G56-F56)</f>
        <v>0</v>
      </c>
      <c r="K56" s="159" t="str">
        <f>IF(G56=0,"",J56/F56)</f>
        <v/>
      </c>
    </row>
    <row r="57" spans="1:11">
      <c r="A57" s="137" t="s">
        <v>48</v>
      </c>
      <c r="B57" s="143"/>
      <c r="C57" s="143"/>
      <c r="D57" s="138">
        <v>63</v>
      </c>
      <c r="E57" s="4"/>
      <c r="F57" s="539">
        <f t="shared" si="3"/>
        <v>63</v>
      </c>
      <c r="G57" s="539"/>
      <c r="H57" s="143">
        <f t="shared" si="4"/>
        <v>0</v>
      </c>
      <c r="I57" s="159"/>
      <c r="J57" s="143">
        <f>IF(G57=0,0,G57-F57)</f>
        <v>0</v>
      </c>
      <c r="K57" s="159" t="str">
        <f>IF(G57=0,"",J57/F57)</f>
        <v/>
      </c>
    </row>
    <row r="58" spans="1:11">
      <c r="A58" s="137" t="s">
        <v>587</v>
      </c>
      <c r="B58" s="143"/>
      <c r="C58" s="143"/>
      <c r="D58" s="138">
        <v>45</v>
      </c>
      <c r="E58" s="4">
        <v>105</v>
      </c>
      <c r="F58" s="539">
        <f t="shared" si="3"/>
        <v>150</v>
      </c>
      <c r="G58" s="539"/>
      <c r="H58" s="143">
        <f t="shared" si="4"/>
        <v>0</v>
      </c>
      <c r="I58" s="159"/>
      <c r="J58" s="143">
        <f>IF(G58=0,0,G58-F58)</f>
        <v>0</v>
      </c>
      <c r="K58" s="159" t="str">
        <f>IF(G58=0,"",J58/F58)</f>
        <v/>
      </c>
    </row>
    <row r="59" spans="1:11">
      <c r="A59" s="137" t="s">
        <v>38</v>
      </c>
      <c r="B59" s="143"/>
      <c r="C59" s="143"/>
      <c r="D59" s="138">
        <v>90000</v>
      </c>
      <c r="E59" s="694">
        <f>110000-70000</f>
        <v>40000</v>
      </c>
      <c r="F59" s="539">
        <f t="shared" si="3"/>
        <v>130000</v>
      </c>
      <c r="G59" s="539"/>
      <c r="H59" s="143">
        <f t="shared" si="4"/>
        <v>0</v>
      </c>
      <c r="I59" s="159"/>
      <c r="J59" s="143">
        <f>IF(G59=0,0,G59-F59)</f>
        <v>0</v>
      </c>
      <c r="K59" s="159" t="str">
        <f>IF(G59=0,"",J59/F59)</f>
        <v/>
      </c>
    </row>
    <row r="60" spans="1:11">
      <c r="A60" s="137" t="s">
        <v>1173</v>
      </c>
      <c r="B60" s="143"/>
      <c r="C60" s="143"/>
      <c r="D60" s="138"/>
      <c r="E60" s="4">
        <v>32</v>
      </c>
      <c r="F60" s="539">
        <f t="shared" si="3"/>
        <v>32</v>
      </c>
      <c r="G60" s="539"/>
      <c r="H60" s="143">
        <f t="shared" si="4"/>
        <v>0</v>
      </c>
      <c r="I60" s="159"/>
      <c r="J60" s="143"/>
      <c r="K60" s="159"/>
    </row>
    <row r="61" spans="1:11">
      <c r="A61" s="142"/>
      <c r="B61" s="143"/>
      <c r="C61" s="143"/>
      <c r="D61" s="141"/>
      <c r="E61" s="564"/>
      <c r="F61" s="539">
        <f t="shared" si="3"/>
        <v>0</v>
      </c>
      <c r="G61" s="539"/>
      <c r="H61" s="143">
        <f t="shared" si="4"/>
        <v>0</v>
      </c>
      <c r="I61" s="159"/>
      <c r="J61" s="143">
        <f t="shared" ref="J61:J96" si="17">IF(G61=0,0,G61-F61)</f>
        <v>0</v>
      </c>
      <c r="K61" s="159" t="str">
        <f t="shared" ref="K61:K96" si="18">IF(G61=0,"",J61/F61)</f>
        <v/>
      </c>
    </row>
    <row r="62" spans="1:11" s="19" customFormat="1">
      <c r="A62" s="133" t="s">
        <v>19</v>
      </c>
      <c r="B62" s="134">
        <f>B63+B65</f>
        <v>297000</v>
      </c>
      <c r="C62" s="134"/>
      <c r="D62" s="141"/>
      <c r="E62" s="564"/>
      <c r="F62" s="684">
        <f t="shared" si="3"/>
        <v>297000</v>
      </c>
      <c r="G62" s="684">
        <f>G63+G65</f>
        <v>2750000</v>
      </c>
      <c r="H62" s="134">
        <f t="shared" si="4"/>
        <v>2453000</v>
      </c>
      <c r="I62" s="156">
        <f t="shared" si="5"/>
        <v>8.2592592592592595</v>
      </c>
      <c r="J62" s="134">
        <f t="shared" si="17"/>
        <v>2453000</v>
      </c>
      <c r="K62" s="156">
        <f t="shared" si="18"/>
        <v>8.2592592592592595</v>
      </c>
    </row>
    <row r="63" spans="1:11">
      <c r="A63" s="140" t="s">
        <v>31</v>
      </c>
      <c r="B63" s="141">
        <f>B64</f>
        <v>6000</v>
      </c>
      <c r="C63" s="141"/>
      <c r="D63" s="141"/>
      <c r="E63" s="564"/>
      <c r="F63" s="564">
        <f t="shared" si="3"/>
        <v>6000</v>
      </c>
      <c r="G63" s="564">
        <f>G64</f>
        <v>1000000</v>
      </c>
      <c r="H63" s="141">
        <f t="shared" si="4"/>
        <v>994000</v>
      </c>
      <c r="I63" s="158">
        <f t="shared" si="5"/>
        <v>165.66666666666666</v>
      </c>
      <c r="J63" s="141">
        <f t="shared" si="17"/>
        <v>994000</v>
      </c>
      <c r="K63" s="158">
        <f t="shared" si="18"/>
        <v>165.66666666666666</v>
      </c>
    </row>
    <row r="64" spans="1:11">
      <c r="A64" s="137" t="s">
        <v>25</v>
      </c>
      <c r="B64" s="138">
        <v>6000</v>
      </c>
      <c r="C64" s="138"/>
      <c r="D64" s="141"/>
      <c r="E64" s="564"/>
      <c r="F64" s="4">
        <f t="shared" si="3"/>
        <v>6000</v>
      </c>
      <c r="G64" s="4">
        <v>1000000</v>
      </c>
      <c r="H64" s="138">
        <f t="shared" si="4"/>
        <v>994000</v>
      </c>
      <c r="I64" s="91">
        <f t="shared" si="5"/>
        <v>165.66666666666666</v>
      </c>
      <c r="J64" s="138">
        <f t="shared" si="17"/>
        <v>994000</v>
      </c>
      <c r="K64" s="91">
        <f t="shared" si="18"/>
        <v>165.66666666666666</v>
      </c>
    </row>
    <row r="65" spans="1:11">
      <c r="A65" s="140" t="s">
        <v>628</v>
      </c>
      <c r="B65" s="141">
        <v>291000</v>
      </c>
      <c r="C65" s="141"/>
      <c r="D65" s="141"/>
      <c r="E65" s="564"/>
      <c r="F65" s="564">
        <f t="shared" si="3"/>
        <v>291000</v>
      </c>
      <c r="G65" s="564">
        <v>1750000</v>
      </c>
      <c r="H65" s="141">
        <f t="shared" si="4"/>
        <v>1459000</v>
      </c>
      <c r="I65" s="158">
        <f t="shared" si="5"/>
        <v>5.0137457044673539</v>
      </c>
      <c r="J65" s="141">
        <f t="shared" si="17"/>
        <v>1459000</v>
      </c>
      <c r="K65" s="158">
        <f t="shared" si="18"/>
        <v>5.0137457044673539</v>
      </c>
    </row>
    <row r="66" spans="1:11">
      <c r="A66" s="140"/>
      <c r="B66" s="141"/>
      <c r="C66" s="141"/>
      <c r="D66" s="141"/>
      <c r="E66" s="564"/>
      <c r="F66" s="564">
        <f t="shared" si="3"/>
        <v>0</v>
      </c>
      <c r="G66" s="564"/>
      <c r="H66" s="141">
        <f t="shared" si="4"/>
        <v>0</v>
      </c>
      <c r="I66" s="478"/>
      <c r="J66" s="141">
        <f t="shared" si="17"/>
        <v>0</v>
      </c>
      <c r="K66" s="478" t="str">
        <f t="shared" si="18"/>
        <v/>
      </c>
    </row>
    <row r="67" spans="1:11">
      <c r="A67" s="133" t="s">
        <v>32</v>
      </c>
      <c r="B67" s="134">
        <f>B68+B72+B73+B77+B74</f>
        <v>474100</v>
      </c>
      <c r="C67" s="134"/>
      <c r="D67" s="134">
        <f>D68+D74</f>
        <v>361116</v>
      </c>
      <c r="E67" s="684">
        <f>E68+E72+E73+E77+E74</f>
        <v>425500</v>
      </c>
      <c r="F67" s="684">
        <f t="shared" si="3"/>
        <v>1260716</v>
      </c>
      <c r="G67" s="684">
        <f>G68+G72+G73+G77+G74</f>
        <v>536500</v>
      </c>
      <c r="H67" s="134">
        <f t="shared" si="4"/>
        <v>62400</v>
      </c>
      <c r="I67" s="479">
        <f t="shared" si="5"/>
        <v>0.13161780215144483</v>
      </c>
      <c r="J67" s="134">
        <f t="shared" si="17"/>
        <v>-724216</v>
      </c>
      <c r="K67" s="479">
        <f t="shared" si="18"/>
        <v>-0.57444817072203413</v>
      </c>
    </row>
    <row r="68" spans="1:11">
      <c r="A68" s="147" t="s">
        <v>41</v>
      </c>
      <c r="B68" s="136">
        <f>B69</f>
        <v>650000</v>
      </c>
      <c r="C68" s="136"/>
      <c r="D68" s="136">
        <f>D69+D70+D71</f>
        <v>355116</v>
      </c>
      <c r="E68" s="508">
        <f>E69+E70+E71</f>
        <v>618884</v>
      </c>
      <c r="F68" s="508">
        <f t="shared" si="3"/>
        <v>1624000</v>
      </c>
      <c r="G68" s="508">
        <f>G69</f>
        <v>700000</v>
      </c>
      <c r="H68" s="136">
        <f t="shared" si="4"/>
        <v>50000</v>
      </c>
      <c r="I68" s="480">
        <f t="shared" si="5"/>
        <v>7.6923076923076927E-2</v>
      </c>
      <c r="J68" s="136">
        <f t="shared" si="17"/>
        <v>-924000</v>
      </c>
      <c r="K68" s="480">
        <f t="shared" si="18"/>
        <v>-0.56896551724137934</v>
      </c>
    </row>
    <row r="69" spans="1:11">
      <c r="A69" s="137" t="s">
        <v>38</v>
      </c>
      <c r="B69" s="138">
        <v>650000</v>
      </c>
      <c r="C69" s="138"/>
      <c r="D69" s="138">
        <v>350000</v>
      </c>
      <c r="E69" s="694">
        <v>620000</v>
      </c>
      <c r="F69" s="4">
        <f t="shared" si="3"/>
        <v>1620000</v>
      </c>
      <c r="G69" s="4">
        <v>700000</v>
      </c>
      <c r="H69" s="138">
        <f t="shared" si="4"/>
        <v>50000</v>
      </c>
      <c r="I69" s="481">
        <f t="shared" si="5"/>
        <v>7.6923076923076927E-2</v>
      </c>
      <c r="J69" s="138">
        <f t="shared" si="17"/>
        <v>-920000</v>
      </c>
      <c r="K69" s="481">
        <f t="shared" si="18"/>
        <v>-0.5679012345679012</v>
      </c>
    </row>
    <row r="70" spans="1:11">
      <c r="A70" s="137" t="s">
        <v>48</v>
      </c>
      <c r="B70" s="138"/>
      <c r="C70" s="138"/>
      <c r="D70" s="138">
        <v>1116</v>
      </c>
      <c r="E70" s="4">
        <v>-1116</v>
      </c>
      <c r="F70" s="4">
        <f t="shared" si="3"/>
        <v>0</v>
      </c>
      <c r="G70" s="4"/>
      <c r="H70" s="138">
        <f t="shared" si="4"/>
        <v>0</v>
      </c>
      <c r="I70" s="481"/>
      <c r="J70" s="138">
        <f t="shared" si="17"/>
        <v>0</v>
      </c>
      <c r="K70" s="481" t="str">
        <f t="shared" si="18"/>
        <v/>
      </c>
    </row>
    <row r="71" spans="1:11">
      <c r="A71" s="137" t="s">
        <v>744</v>
      </c>
      <c r="B71" s="138"/>
      <c r="C71" s="138"/>
      <c r="D71" s="138">
        <v>4000</v>
      </c>
      <c r="E71" s="4"/>
      <c r="F71" s="4">
        <f t="shared" ref="F71:F93" si="19">SUM(B71:E71)</f>
        <v>4000</v>
      </c>
      <c r="G71" s="4"/>
      <c r="H71" s="138">
        <f t="shared" ref="H71:H96" si="20">G71-B71</f>
        <v>0</v>
      </c>
      <c r="I71" s="481"/>
      <c r="J71" s="138">
        <f t="shared" si="17"/>
        <v>0</v>
      </c>
      <c r="K71" s="481" t="str">
        <f t="shared" si="18"/>
        <v/>
      </c>
    </row>
    <row r="72" spans="1:11" s="19" customFormat="1">
      <c r="A72" s="147" t="s">
        <v>8</v>
      </c>
      <c r="B72" s="136">
        <v>-220000</v>
      </c>
      <c r="C72" s="136"/>
      <c r="D72" s="138"/>
      <c r="E72" s="695">
        <v>-200000</v>
      </c>
      <c r="F72" s="508">
        <f t="shared" si="19"/>
        <v>-420000</v>
      </c>
      <c r="G72" s="508">
        <v>-220000</v>
      </c>
      <c r="H72" s="136">
        <f t="shared" si="20"/>
        <v>0</v>
      </c>
      <c r="I72" s="480">
        <f t="shared" ref="I72:I94" si="21">H72/B72</f>
        <v>0</v>
      </c>
      <c r="J72" s="136">
        <f t="shared" si="17"/>
        <v>200000</v>
      </c>
      <c r="K72" s="480">
        <f t="shared" si="18"/>
        <v>-0.47619047619047616</v>
      </c>
    </row>
    <row r="73" spans="1:11" s="19" customFormat="1">
      <c r="A73" s="147" t="s">
        <v>20</v>
      </c>
      <c r="B73" s="136">
        <v>-10000</v>
      </c>
      <c r="C73" s="136"/>
      <c r="D73" s="138"/>
      <c r="E73" s="4"/>
      <c r="F73" s="508">
        <f t="shared" si="19"/>
        <v>-10000</v>
      </c>
      <c r="G73" s="508">
        <v>-10000</v>
      </c>
      <c r="H73" s="136">
        <f t="shared" si="20"/>
        <v>0</v>
      </c>
      <c r="I73" s="480">
        <f t="shared" si="21"/>
        <v>0</v>
      </c>
      <c r="J73" s="136">
        <f t="shared" si="17"/>
        <v>0</v>
      </c>
      <c r="K73" s="480">
        <f t="shared" si="18"/>
        <v>0</v>
      </c>
    </row>
    <row r="74" spans="1:11" s="19" customFormat="1">
      <c r="A74" s="147" t="s">
        <v>721</v>
      </c>
      <c r="B74" s="136">
        <f>B76</f>
        <v>15000</v>
      </c>
      <c r="C74" s="136"/>
      <c r="D74" s="136">
        <f>D76</f>
        <v>6000</v>
      </c>
      <c r="E74" s="508">
        <f>E76+E75</f>
        <v>3116</v>
      </c>
      <c r="F74" s="508">
        <f t="shared" si="19"/>
        <v>24116</v>
      </c>
      <c r="G74" s="508">
        <f>G76</f>
        <v>17000</v>
      </c>
      <c r="H74" s="136">
        <f t="shared" si="20"/>
        <v>2000</v>
      </c>
      <c r="I74" s="480">
        <f t="shared" si="21"/>
        <v>0.13333333333333333</v>
      </c>
      <c r="J74" s="136">
        <f t="shared" si="17"/>
        <v>-7116</v>
      </c>
      <c r="K74" s="480">
        <f t="shared" si="18"/>
        <v>-0.29507380991872617</v>
      </c>
    </row>
    <row r="75" spans="1:11" s="19" customFormat="1">
      <c r="A75" s="137" t="s">
        <v>48</v>
      </c>
      <c r="B75" s="136"/>
      <c r="C75" s="136"/>
      <c r="D75" s="136"/>
      <c r="E75" s="4">
        <v>1116</v>
      </c>
      <c r="F75" s="508">
        <f t="shared" si="19"/>
        <v>1116</v>
      </c>
      <c r="G75" s="508"/>
      <c r="H75" s="136">
        <f t="shared" si="20"/>
        <v>0</v>
      </c>
      <c r="I75" s="480"/>
      <c r="J75" s="136">
        <f t="shared" si="17"/>
        <v>0</v>
      </c>
      <c r="K75" s="480" t="str">
        <f t="shared" si="18"/>
        <v/>
      </c>
    </row>
    <row r="76" spans="1:11" s="19" customFormat="1">
      <c r="A76" s="137" t="s">
        <v>587</v>
      </c>
      <c r="B76" s="138">
        <v>15000</v>
      </c>
      <c r="C76" s="138"/>
      <c r="D76" s="138">
        <v>6000</v>
      </c>
      <c r="E76" s="4">
        <v>2000</v>
      </c>
      <c r="F76" s="4">
        <f t="shared" si="19"/>
        <v>23000</v>
      </c>
      <c r="G76" s="4">
        <v>17000</v>
      </c>
      <c r="H76" s="138">
        <f t="shared" si="20"/>
        <v>2000</v>
      </c>
      <c r="I76" s="481">
        <f t="shared" si="21"/>
        <v>0.13333333333333333</v>
      </c>
      <c r="J76" s="138">
        <f t="shared" si="17"/>
        <v>-6000</v>
      </c>
      <c r="K76" s="481">
        <f t="shared" si="18"/>
        <v>-0.2608695652173913</v>
      </c>
    </row>
    <row r="77" spans="1:11" s="19" customFormat="1">
      <c r="A77" s="147" t="s">
        <v>412</v>
      </c>
      <c r="B77" s="136">
        <f>B78+B79+B81+B80</f>
        <v>39100</v>
      </c>
      <c r="C77" s="136"/>
      <c r="D77" s="136"/>
      <c r="E77" s="508">
        <f>E78+E79+E81+E80</f>
        <v>3500</v>
      </c>
      <c r="F77" s="508">
        <f t="shared" si="19"/>
        <v>42600</v>
      </c>
      <c r="G77" s="508">
        <f>G78+G79+G81+G80</f>
        <v>49500</v>
      </c>
      <c r="H77" s="136">
        <f t="shared" si="20"/>
        <v>10400</v>
      </c>
      <c r="I77" s="480">
        <f t="shared" si="21"/>
        <v>0.26598465473145783</v>
      </c>
      <c r="J77" s="136">
        <f t="shared" si="17"/>
        <v>6900</v>
      </c>
      <c r="K77" s="480">
        <f t="shared" si="18"/>
        <v>0.1619718309859155</v>
      </c>
    </row>
    <row r="78" spans="1:11" s="19" customFormat="1">
      <c r="A78" s="137" t="s">
        <v>587</v>
      </c>
      <c r="B78" s="138">
        <f>4000+1000</f>
        <v>5000</v>
      </c>
      <c r="C78" s="138"/>
      <c r="D78" s="136"/>
      <c r="E78" s="508">
        <v>100</v>
      </c>
      <c r="F78" s="4">
        <f t="shared" si="19"/>
        <v>5100</v>
      </c>
      <c r="G78" s="4">
        <f>10000+1000</f>
        <v>11000</v>
      </c>
      <c r="H78" s="138">
        <f t="shared" si="20"/>
        <v>6000</v>
      </c>
      <c r="I78" s="481">
        <f t="shared" si="21"/>
        <v>1.2</v>
      </c>
      <c r="J78" s="138">
        <f t="shared" si="17"/>
        <v>5900</v>
      </c>
      <c r="K78" s="481">
        <f t="shared" si="18"/>
        <v>1.1568627450980393</v>
      </c>
    </row>
    <row r="79" spans="1:11" s="19" customFormat="1">
      <c r="A79" s="137" t="s">
        <v>404</v>
      </c>
      <c r="B79" s="138">
        <v>30600</v>
      </c>
      <c r="C79" s="138"/>
      <c r="D79" s="136"/>
      <c r="E79" s="694">
        <v>3400</v>
      </c>
      <c r="F79" s="4">
        <f t="shared" si="19"/>
        <v>34000</v>
      </c>
      <c r="G79" s="4">
        <v>35000</v>
      </c>
      <c r="H79" s="138">
        <f t="shared" si="20"/>
        <v>4400</v>
      </c>
      <c r="I79" s="91">
        <f t="shared" si="21"/>
        <v>0.1437908496732026</v>
      </c>
      <c r="J79" s="138">
        <f t="shared" si="17"/>
        <v>1000</v>
      </c>
      <c r="K79" s="91">
        <f t="shared" si="18"/>
        <v>2.9411764705882353E-2</v>
      </c>
    </row>
    <row r="80" spans="1:11" s="19" customFormat="1">
      <c r="A80" s="137" t="s">
        <v>1173</v>
      </c>
      <c r="B80" s="138">
        <v>2000</v>
      </c>
      <c r="C80" s="138"/>
      <c r="D80" s="136"/>
      <c r="E80" s="508"/>
      <c r="F80" s="4">
        <f t="shared" si="19"/>
        <v>2000</v>
      </c>
      <c r="G80" s="4">
        <v>2000</v>
      </c>
      <c r="H80" s="138">
        <f t="shared" si="20"/>
        <v>0</v>
      </c>
      <c r="I80" s="91">
        <f t="shared" si="21"/>
        <v>0</v>
      </c>
      <c r="J80" s="138">
        <f t="shared" si="17"/>
        <v>0</v>
      </c>
      <c r="K80" s="91">
        <f t="shared" si="18"/>
        <v>0</v>
      </c>
    </row>
    <row r="81" spans="1:11" s="19" customFormat="1">
      <c r="A81" s="137" t="s">
        <v>174</v>
      </c>
      <c r="B81" s="138">
        <v>1500</v>
      </c>
      <c r="C81" s="138"/>
      <c r="D81" s="136"/>
      <c r="E81" s="508"/>
      <c r="F81" s="4">
        <f t="shared" si="19"/>
        <v>1500</v>
      </c>
      <c r="G81" s="4">
        <v>1500</v>
      </c>
      <c r="H81" s="138">
        <f t="shared" si="20"/>
        <v>0</v>
      </c>
      <c r="I81" s="91">
        <f t="shared" si="21"/>
        <v>0</v>
      </c>
      <c r="J81" s="138">
        <f t="shared" si="17"/>
        <v>0</v>
      </c>
      <c r="K81" s="91">
        <f t="shared" si="18"/>
        <v>0</v>
      </c>
    </row>
    <row r="82" spans="1:11" s="19" customFormat="1">
      <c r="A82" s="147"/>
      <c r="B82" s="136"/>
      <c r="C82" s="136"/>
      <c r="D82" s="136"/>
      <c r="E82" s="508"/>
      <c r="F82" s="508">
        <f t="shared" si="19"/>
        <v>0</v>
      </c>
      <c r="G82" s="508"/>
      <c r="H82" s="136">
        <f t="shared" si="20"/>
        <v>0</v>
      </c>
      <c r="I82" s="157"/>
      <c r="J82" s="136">
        <f t="shared" si="17"/>
        <v>0</v>
      </c>
      <c r="K82" s="157" t="str">
        <f t="shared" si="18"/>
        <v/>
      </c>
    </row>
    <row r="83" spans="1:11" s="19" customFormat="1">
      <c r="A83" s="133" t="s">
        <v>21</v>
      </c>
      <c r="B83" s="134">
        <f>B84+B86</f>
        <v>467000</v>
      </c>
      <c r="C83" s="134"/>
      <c r="D83" s="134">
        <f>D86</f>
        <v>605</v>
      </c>
      <c r="E83" s="684">
        <f>E84+E86</f>
        <v>2728</v>
      </c>
      <c r="F83" s="684">
        <f t="shared" si="19"/>
        <v>470333</v>
      </c>
      <c r="G83" s="684">
        <f>G84+G86</f>
        <v>467000</v>
      </c>
      <c r="H83" s="134">
        <f t="shared" si="20"/>
        <v>0</v>
      </c>
      <c r="I83" s="156">
        <f t="shared" si="21"/>
        <v>0</v>
      </c>
      <c r="J83" s="134">
        <f t="shared" si="17"/>
        <v>-3333</v>
      </c>
      <c r="K83" s="156">
        <f t="shared" si="18"/>
        <v>-7.08646852336536E-3</v>
      </c>
    </row>
    <row r="84" spans="1:11" s="19" customFormat="1">
      <c r="A84" s="140" t="s">
        <v>66</v>
      </c>
      <c r="B84" s="141">
        <f t="shared" ref="B84" si="22">B85</f>
        <v>400000</v>
      </c>
      <c r="C84" s="141"/>
      <c r="D84" s="134"/>
      <c r="E84" s="684"/>
      <c r="F84" s="564">
        <f t="shared" si="19"/>
        <v>400000</v>
      </c>
      <c r="G84" s="564">
        <f>G85</f>
        <v>400000</v>
      </c>
      <c r="H84" s="141">
        <f t="shared" si="20"/>
        <v>0</v>
      </c>
      <c r="I84" s="158">
        <f t="shared" si="21"/>
        <v>0</v>
      </c>
      <c r="J84" s="141">
        <f t="shared" si="17"/>
        <v>0</v>
      </c>
      <c r="K84" s="158">
        <f t="shared" si="18"/>
        <v>0</v>
      </c>
    </row>
    <row r="85" spans="1:11" s="19" customFormat="1">
      <c r="A85" s="137" t="s">
        <v>25</v>
      </c>
      <c r="B85" s="138">
        <v>400000</v>
      </c>
      <c r="C85" s="138"/>
      <c r="D85" s="134"/>
      <c r="E85" s="684"/>
      <c r="F85" s="4">
        <f t="shared" si="19"/>
        <v>400000</v>
      </c>
      <c r="G85" s="4">
        <v>400000</v>
      </c>
      <c r="H85" s="138">
        <f t="shared" si="20"/>
        <v>0</v>
      </c>
      <c r="I85" s="91">
        <f t="shared" si="21"/>
        <v>0</v>
      </c>
      <c r="J85" s="138">
        <f t="shared" si="17"/>
        <v>0</v>
      </c>
      <c r="K85" s="91">
        <f t="shared" si="18"/>
        <v>0</v>
      </c>
    </row>
    <row r="86" spans="1:11">
      <c r="A86" s="140" t="s">
        <v>42</v>
      </c>
      <c r="B86" s="141">
        <f>SUM(B87:B87)</f>
        <v>67000</v>
      </c>
      <c r="C86" s="141"/>
      <c r="D86" s="141">
        <f>D89</f>
        <v>605</v>
      </c>
      <c r="E86" s="564">
        <f>SUM(E87:E89)</f>
        <v>2728</v>
      </c>
      <c r="F86" s="564">
        <f t="shared" si="19"/>
        <v>70333</v>
      </c>
      <c r="G86" s="564">
        <f>G87</f>
        <v>67000</v>
      </c>
      <c r="H86" s="141">
        <f t="shared" si="20"/>
        <v>0</v>
      </c>
      <c r="I86" s="158">
        <f t="shared" si="21"/>
        <v>0</v>
      </c>
      <c r="J86" s="141">
        <f t="shared" si="17"/>
        <v>-3333</v>
      </c>
      <c r="K86" s="158">
        <f t="shared" si="18"/>
        <v>-4.7388850184124094E-2</v>
      </c>
    </row>
    <row r="87" spans="1:11">
      <c r="A87" s="137" t="s">
        <v>25</v>
      </c>
      <c r="B87" s="138">
        <v>67000</v>
      </c>
      <c r="C87" s="138"/>
      <c r="D87" s="141"/>
      <c r="E87" s="564"/>
      <c r="F87" s="4">
        <f t="shared" si="19"/>
        <v>67000</v>
      </c>
      <c r="G87" s="4">
        <v>67000</v>
      </c>
      <c r="H87" s="141">
        <f t="shared" si="20"/>
        <v>0</v>
      </c>
      <c r="I87" s="158">
        <f t="shared" si="21"/>
        <v>0</v>
      </c>
      <c r="J87" s="141">
        <f t="shared" si="17"/>
        <v>0</v>
      </c>
      <c r="K87" s="158">
        <f t="shared" si="18"/>
        <v>0</v>
      </c>
    </row>
    <row r="88" spans="1:11">
      <c r="A88" s="137" t="s">
        <v>1173</v>
      </c>
      <c r="B88" s="138"/>
      <c r="C88" s="138"/>
      <c r="D88" s="141"/>
      <c r="E88" s="4">
        <v>1728</v>
      </c>
      <c r="F88" s="4">
        <f t="shared" si="19"/>
        <v>1728</v>
      </c>
      <c r="G88" s="4"/>
      <c r="H88" s="141">
        <f t="shared" si="20"/>
        <v>0</v>
      </c>
      <c r="I88" s="158"/>
      <c r="J88" s="141">
        <f t="shared" si="17"/>
        <v>0</v>
      </c>
      <c r="K88" s="158" t="str">
        <f t="shared" si="18"/>
        <v/>
      </c>
    </row>
    <row r="89" spans="1:11">
      <c r="A89" s="137" t="s">
        <v>174</v>
      </c>
      <c r="B89" s="138"/>
      <c r="C89" s="138"/>
      <c r="D89" s="138">
        <v>605</v>
      </c>
      <c r="E89" s="138">
        <v>1000</v>
      </c>
      <c r="F89" s="138">
        <f t="shared" si="19"/>
        <v>1605</v>
      </c>
      <c r="G89" s="138"/>
      <c r="H89" s="141">
        <f t="shared" si="20"/>
        <v>0</v>
      </c>
      <c r="I89" s="158"/>
      <c r="J89" s="141">
        <f t="shared" si="17"/>
        <v>0</v>
      </c>
      <c r="K89" s="158" t="str">
        <f t="shared" si="18"/>
        <v/>
      </c>
    </row>
    <row r="90" spans="1:11">
      <c r="A90" s="137"/>
      <c r="B90" s="138"/>
      <c r="C90" s="138"/>
      <c r="D90" s="138"/>
      <c r="E90" s="138"/>
      <c r="F90" s="138">
        <f t="shared" si="19"/>
        <v>0</v>
      </c>
      <c r="G90" s="138"/>
      <c r="H90" s="141">
        <f t="shared" si="20"/>
        <v>0</v>
      </c>
      <c r="I90" s="158"/>
      <c r="J90" s="141">
        <f t="shared" si="17"/>
        <v>0</v>
      </c>
      <c r="K90" s="158" t="str">
        <f t="shared" si="18"/>
        <v/>
      </c>
    </row>
    <row r="91" spans="1:11">
      <c r="A91" s="153" t="s">
        <v>22</v>
      </c>
      <c r="B91" s="154">
        <f>B92</f>
        <v>8600000</v>
      </c>
      <c r="C91" s="154"/>
      <c r="D91" s="154">
        <f>D92</f>
        <v>1357463</v>
      </c>
      <c r="E91" s="134"/>
      <c r="F91" s="154">
        <f t="shared" si="19"/>
        <v>9957463</v>
      </c>
      <c r="G91" s="154">
        <f>G92</f>
        <v>6800000</v>
      </c>
      <c r="H91" s="154">
        <f t="shared" si="20"/>
        <v>-1800000</v>
      </c>
      <c r="I91" s="161">
        <f t="shared" si="21"/>
        <v>-0.20930232558139536</v>
      </c>
      <c r="J91" s="154">
        <f t="shared" si="17"/>
        <v>-3157463</v>
      </c>
      <c r="K91" s="161">
        <f t="shared" si="18"/>
        <v>-0.31709512754403407</v>
      </c>
    </row>
    <row r="92" spans="1:11">
      <c r="A92" s="137" t="s">
        <v>609</v>
      </c>
      <c r="B92" s="138">
        <v>8600000</v>
      </c>
      <c r="C92" s="138"/>
      <c r="D92" s="138">
        <v>1357463</v>
      </c>
      <c r="E92" s="138"/>
      <c r="F92" s="138">
        <f t="shared" si="19"/>
        <v>9957463</v>
      </c>
      <c r="G92" s="138">
        <v>6800000</v>
      </c>
      <c r="H92" s="138">
        <f t="shared" si="20"/>
        <v>-1800000</v>
      </c>
      <c r="I92" s="517">
        <f t="shared" si="21"/>
        <v>-0.20930232558139536</v>
      </c>
      <c r="J92" s="138">
        <f t="shared" si="17"/>
        <v>-3157463</v>
      </c>
      <c r="K92" s="517">
        <f t="shared" si="18"/>
        <v>-0.31709512754403407</v>
      </c>
    </row>
    <row r="93" spans="1:11">
      <c r="A93" s="142"/>
      <c r="B93" s="143"/>
      <c r="C93" s="143"/>
      <c r="D93" s="143"/>
      <c r="E93" s="143"/>
      <c r="F93" s="143">
        <f t="shared" si="19"/>
        <v>0</v>
      </c>
      <c r="G93" s="143"/>
      <c r="H93" s="143">
        <f t="shared" si="20"/>
        <v>0</v>
      </c>
      <c r="I93" s="159"/>
      <c r="J93" s="143">
        <f t="shared" si="17"/>
        <v>0</v>
      </c>
      <c r="K93" s="159" t="str">
        <f t="shared" si="18"/>
        <v/>
      </c>
    </row>
    <row r="94" spans="1:11">
      <c r="A94" s="133" t="s">
        <v>13</v>
      </c>
      <c r="B94" s="134">
        <f>B6+B13+B23+B29+B35+B62+B67+B83+B91</f>
        <v>605229124</v>
      </c>
      <c r="C94" s="134">
        <f>C6+C13+C23+C29+C35+C62+C67+C83+C91</f>
        <v>5343000</v>
      </c>
      <c r="D94" s="134">
        <f>D6+D13+D35+D67+D83+D91</f>
        <v>16745492</v>
      </c>
      <c r="E94" s="134">
        <f>E6+E13+E23+E29+E35+E62+E67+E83+E91</f>
        <v>12618233</v>
      </c>
      <c r="F94" s="134">
        <f t="shared" ref="F94:F96" si="23">SUM(B94:E94)</f>
        <v>639935849</v>
      </c>
      <c r="G94" s="134">
        <f>G6+G13+G23+G29+G35+G62+G67+G83+G91</f>
        <v>676828524</v>
      </c>
      <c r="H94" s="134">
        <f t="shared" si="20"/>
        <v>71599400</v>
      </c>
      <c r="I94" s="156">
        <f t="shared" si="21"/>
        <v>0.11830131294210489</v>
      </c>
      <c r="J94" s="134">
        <f t="shared" si="17"/>
        <v>36892675</v>
      </c>
      <c r="K94" s="156">
        <f t="shared" si="18"/>
        <v>5.7650583347769284E-2</v>
      </c>
    </row>
    <row r="95" spans="1:11">
      <c r="A95" s="77"/>
      <c r="B95" s="155"/>
      <c r="C95" s="155"/>
      <c r="D95" s="75"/>
      <c r="E95" s="155"/>
      <c r="F95" s="155">
        <f t="shared" si="23"/>
        <v>0</v>
      </c>
      <c r="G95" s="155"/>
      <c r="H95" s="134">
        <f t="shared" si="20"/>
        <v>0</v>
      </c>
      <c r="I95" s="156"/>
      <c r="J95" s="155">
        <f t="shared" si="17"/>
        <v>0</v>
      </c>
      <c r="K95" s="162" t="str">
        <f t="shared" si="18"/>
        <v/>
      </c>
    </row>
    <row r="96" spans="1:11">
      <c r="A96" s="75"/>
      <c r="B96" s="18"/>
      <c r="C96" s="18"/>
      <c r="D96" s="75"/>
      <c r="E96" s="18"/>
      <c r="F96" s="18">
        <f t="shared" si="23"/>
        <v>0</v>
      </c>
      <c r="G96" s="18"/>
      <c r="H96" s="134">
        <f t="shared" si="20"/>
        <v>0</v>
      </c>
      <c r="I96" s="156"/>
      <c r="J96" s="18">
        <f t="shared" si="17"/>
        <v>0</v>
      </c>
      <c r="K96" s="101" t="str">
        <f t="shared" si="18"/>
        <v/>
      </c>
    </row>
  </sheetData>
  <autoFilter ref="A5:I96" xr:uid="{00000000-0001-0000-0400-000000000000}"/>
  <mergeCells count="3">
    <mergeCell ref="J3:K3"/>
    <mergeCell ref="H3:I3"/>
    <mergeCell ref="B3:F3"/>
  </mergeCells>
  <phoneticPr fontId="39" type="noConversion"/>
  <printOptions gridLines="1"/>
  <pageMargins left="0.19685039370078741" right="0.19685039370078741" top="0.47244094488188981" bottom="0.98425196850393704" header="0.51181102362204722" footer="0.51181102362204722"/>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61"/>
  <sheetViews>
    <sheetView topLeftCell="B2" workbookViewId="0">
      <selection activeCell="F29" sqref="C29:F29"/>
    </sheetView>
  </sheetViews>
  <sheetFormatPr defaultColWidth="9.44140625" defaultRowHeight="13.2"/>
  <cols>
    <col min="1" max="1" width="40" style="10" bestFit="1" customWidth="1"/>
    <col min="2" max="2" width="11.5546875" style="10" bestFit="1" customWidth="1"/>
    <col min="3" max="4" width="10.44140625" style="10" bestFit="1" customWidth="1"/>
    <col min="5" max="5" width="10.44140625" style="10" customWidth="1"/>
    <col min="6" max="6" width="11.44140625" style="10" bestFit="1" customWidth="1"/>
    <col min="7" max="7" width="10.44140625" style="10" bestFit="1" customWidth="1"/>
    <col min="8" max="9" width="11.44140625" style="10" bestFit="1" customWidth="1"/>
    <col min="10" max="10" width="10.44140625" style="10" bestFit="1" customWidth="1"/>
    <col min="11" max="16384" width="9.44140625" style="10"/>
  </cols>
  <sheetData>
    <row r="1" spans="1:13">
      <c r="A1" s="5" t="s">
        <v>11</v>
      </c>
      <c r="B1" s="8">
        <f ca="1">SUM(B2:B11)</f>
        <v>71281297</v>
      </c>
      <c r="C1" s="8">
        <f t="shared" ref="C1:H1" ca="1" si="0">SUM(C2:C11)</f>
        <v>0</v>
      </c>
      <c r="D1" s="8">
        <f t="shared" ca="1" si="0"/>
        <v>4072970</v>
      </c>
      <c r="E1" s="8">
        <f t="shared" ref="E1" ca="1" si="1">SUM(E2:E11)</f>
        <v>4171802</v>
      </c>
      <c r="F1" s="8">
        <f t="shared" ca="1" si="0"/>
        <v>79526069</v>
      </c>
      <c r="G1" s="8">
        <f t="shared" ca="1" si="0"/>
        <v>74860630</v>
      </c>
      <c r="H1" s="8">
        <f t="shared" ca="1" si="0"/>
        <v>-4665439</v>
      </c>
      <c r="I1" s="8"/>
      <c r="J1" s="8"/>
      <c r="K1" s="8"/>
      <c r="L1" s="8"/>
      <c r="M1" s="8"/>
    </row>
    <row r="2" spans="1:13">
      <c r="A2" s="6" t="s">
        <v>54</v>
      </c>
      <c r="B2" s="8">
        <f ca="1">SUMIF('2.2 OMATULUD'!$A$6:B$813,$A2,'2.2 OMATULUD'!B$6:B$813)</f>
        <v>27853510</v>
      </c>
      <c r="C2" s="8">
        <f ca="1">SUMIF('2.2 OMATULUD'!$A$6:C$813,$A2,'2.2 OMATULUD'!C$6:C$813)</f>
        <v>0</v>
      </c>
      <c r="D2" s="8">
        <f ca="1">SUMIF('2.2 OMATULUD'!$A$6:D$813,$A2,'2.2 OMATULUD'!D$6:D$813)</f>
        <v>221610</v>
      </c>
      <c r="E2" s="8">
        <f ca="1">SUMIF('2.2 OMATULUD'!$A$6:E$813,$A2,'2.2 OMATULUD'!E$6:E$813)</f>
        <v>140570</v>
      </c>
      <c r="F2" s="8">
        <f ca="1">SUMIF('2.2 OMATULUD'!$A$6:F$813,$A2,'2.2 OMATULUD'!F$6:F$813)</f>
        <v>28215690</v>
      </c>
      <c r="G2" s="8">
        <f ca="1">SUMIF('2.2 OMATULUD'!$A$6:G$813,$A2,'2.2 OMATULUD'!G$6:G$813)</f>
        <v>29028080</v>
      </c>
      <c r="H2" s="8">
        <f ca="1">SUMIF('2.2 OMATULUD'!$A$6:J$813,$A2,'2.2 OMATULUD'!J$6:J$813)</f>
        <v>812390</v>
      </c>
      <c r="I2" s="8"/>
      <c r="J2" s="8"/>
      <c r="K2" s="8"/>
      <c r="L2" s="8"/>
      <c r="M2" s="8"/>
    </row>
    <row r="3" spans="1:13">
      <c r="A3" s="6" t="s">
        <v>59</v>
      </c>
      <c r="B3" s="8">
        <f ca="1">SUMIF('2.2 OMATULUD'!$A$6:B$813,$A3,'2.2 OMATULUD'!B$6:B$813)</f>
        <v>4460770</v>
      </c>
      <c r="C3" s="8">
        <f ca="1">SUMIF('2.2 OMATULUD'!$A$6:C$813,$A3,'2.2 OMATULUD'!C$6:C$813)</f>
        <v>0</v>
      </c>
      <c r="D3" s="8">
        <f ca="1">SUMIF('2.2 OMATULUD'!$A$6:D$813,$A3,'2.2 OMATULUD'!D$6:D$813)</f>
        <v>622025</v>
      </c>
      <c r="E3" s="8">
        <f ca="1">SUMIF('2.2 OMATULUD'!$A$6:E$813,$A3,'2.2 OMATULUD'!E$6:E$813)</f>
        <v>961370</v>
      </c>
      <c r="F3" s="8">
        <f ca="1">SUMIF('2.2 OMATULUD'!$A$6:F$813,$A3,'2.2 OMATULUD'!F$6:F$813)</f>
        <v>6044165</v>
      </c>
      <c r="G3" s="8">
        <f ca="1">SUMIF('2.2 OMATULUD'!$A$6:G$813,$A3,'2.2 OMATULUD'!G$6:G$813)</f>
        <v>5456040</v>
      </c>
      <c r="H3" s="8">
        <f ca="1">SUMIF('2.2 OMATULUD'!$A$6:J$813,$A3,'2.2 OMATULUD'!J$6:J$813)</f>
        <v>-588125</v>
      </c>
      <c r="I3" s="8"/>
      <c r="J3" s="8"/>
      <c r="K3" s="8"/>
      <c r="L3" s="8"/>
      <c r="M3" s="8"/>
    </row>
    <row r="4" spans="1:13">
      <c r="A4" s="6" t="s">
        <v>55</v>
      </c>
      <c r="B4" s="8">
        <f ca="1">SUMIF('2.2 OMATULUD'!$A$6:B$813,$A4,'2.2 OMATULUD'!B$6:B$813)</f>
        <v>5069503</v>
      </c>
      <c r="C4" s="8">
        <f ca="1">SUMIF('2.2 OMATULUD'!$A$6:C$813,$A4,'2.2 OMATULUD'!C$6:C$813)</f>
        <v>0</v>
      </c>
      <c r="D4" s="8">
        <f ca="1">SUMIF('2.2 OMATULUD'!$A$6:D$813,$A4,'2.2 OMATULUD'!D$6:D$813)</f>
        <v>-169600</v>
      </c>
      <c r="E4" s="8">
        <f ca="1">SUMIF('2.2 OMATULUD'!$A$6:E$813,$A4,'2.2 OMATULUD'!E$6:E$813)</f>
        <v>158892</v>
      </c>
      <c r="F4" s="8">
        <f ca="1">SUMIF('2.2 OMATULUD'!$A$6:F$813,$A4,'2.2 OMATULUD'!F$6:F$813)</f>
        <v>5058795</v>
      </c>
      <c r="G4" s="8">
        <f ca="1">SUMIF('2.2 OMATULUD'!$A$6:G$813,$A4,'2.2 OMATULUD'!G$6:G$813)</f>
        <v>5765810</v>
      </c>
      <c r="H4" s="8">
        <f ca="1">SUMIF('2.2 OMATULUD'!$A$6:J$813,$A4,'2.2 OMATULUD'!J$6:J$813)</f>
        <v>707015</v>
      </c>
      <c r="I4" s="8"/>
      <c r="J4" s="8"/>
      <c r="K4" s="8"/>
      <c r="L4" s="8"/>
      <c r="M4" s="8"/>
    </row>
    <row r="5" spans="1:13">
      <c r="A5" s="6" t="s">
        <v>64</v>
      </c>
      <c r="B5" s="8">
        <f ca="1">SUMIF('2.2 OMATULUD'!$A$6:B$813,$A5,'2.2 OMATULUD'!B$6:B$813)</f>
        <v>4346341</v>
      </c>
      <c r="C5" s="8">
        <f ca="1">SUMIF('2.2 OMATULUD'!$A$6:C$813,$A5,'2.2 OMATULUD'!C$6:C$813)</f>
        <v>0</v>
      </c>
      <c r="D5" s="8">
        <f ca="1">SUMIF('2.2 OMATULUD'!$A$6:D$813,$A5,'2.2 OMATULUD'!D$6:D$813)</f>
        <v>-37000</v>
      </c>
      <c r="E5" s="8">
        <f ca="1">SUMIF('2.2 OMATULUD'!$A$6:E$813,$A5,'2.2 OMATULUD'!E$6:E$813)</f>
        <v>110000</v>
      </c>
      <c r="F5" s="8">
        <f ca="1">SUMIF('2.2 OMATULUD'!$A$6:F$813,$A5,'2.2 OMATULUD'!F$6:F$813)</f>
        <v>4419341</v>
      </c>
      <c r="G5" s="8">
        <f ca="1">SUMIF('2.2 OMATULUD'!$A$6:G$813,$A5,'2.2 OMATULUD'!G$6:G$813)</f>
        <v>2875880</v>
      </c>
      <c r="H5" s="8">
        <f ca="1">SUMIF('2.2 OMATULUD'!$A$6:J$813,$A5,'2.2 OMATULUD'!J$6:J$813)</f>
        <v>-1543461</v>
      </c>
      <c r="I5" s="8"/>
      <c r="J5" s="8"/>
      <c r="K5" s="8"/>
      <c r="L5" s="8"/>
      <c r="M5" s="8"/>
    </row>
    <row r="6" spans="1:13">
      <c r="A6" s="6" t="s">
        <v>60</v>
      </c>
      <c r="B6" s="8">
        <f ca="1">SUMIF('2.2 OMATULUD'!$A$6:B$813,$A6,'2.2 OMATULUD'!B$6:B$813)</f>
        <v>4000</v>
      </c>
      <c r="C6" s="8">
        <f ca="1">SUMIF('2.2 OMATULUD'!$A$6:C$813,$A6,'2.2 OMATULUD'!C$6:C$813)</f>
        <v>0</v>
      </c>
      <c r="D6" s="8">
        <f ca="1">SUMIF('2.2 OMATULUD'!$A$6:D$813,$A6,'2.2 OMATULUD'!D$6:D$813)</f>
        <v>5020</v>
      </c>
      <c r="E6" s="8">
        <f ca="1">SUMIF('2.2 OMATULUD'!$A$6:E$813,$A6,'2.2 OMATULUD'!E$6:E$813)</f>
        <v>0</v>
      </c>
      <c r="F6" s="8">
        <f ca="1">SUMIF('2.2 OMATULUD'!$A$6:F$813,$A6,'2.2 OMATULUD'!F$6:F$813)</f>
        <v>9020</v>
      </c>
      <c r="G6" s="8">
        <f ca="1">SUMIF('2.2 OMATULUD'!$A$6:G$813,$A6,'2.2 OMATULUD'!G$6:G$813)</f>
        <v>6000</v>
      </c>
      <c r="H6" s="8">
        <f ca="1">SUMIF('2.2 OMATULUD'!$A$6:J$813,$A6,'2.2 OMATULUD'!J$6:J$813)</f>
        <v>-3020</v>
      </c>
      <c r="I6" s="8"/>
      <c r="J6" s="8"/>
      <c r="K6" s="8"/>
      <c r="L6" s="8"/>
      <c r="M6" s="8"/>
    </row>
    <row r="7" spans="1:13">
      <c r="A7" s="6" t="s">
        <v>61</v>
      </c>
      <c r="B7" s="8">
        <f ca="1">SUMIF('2.2 OMATULUD'!$A$6:B$813,$A7,'2.2 OMATULUD'!B$6:B$813)</f>
        <v>8820836</v>
      </c>
      <c r="C7" s="8">
        <f ca="1">SUMIF('2.2 OMATULUD'!$A$6:C$813,$A7,'2.2 OMATULUD'!C$6:C$813)</f>
        <v>0</v>
      </c>
      <c r="D7" s="8">
        <f ca="1">SUMIF('2.2 OMATULUD'!$A$6:D$813,$A7,'2.2 OMATULUD'!D$6:D$813)</f>
        <v>1412389</v>
      </c>
      <c r="E7" s="8">
        <f ca="1">SUMIF('2.2 OMATULUD'!$A$6:E$813,$A7,'2.2 OMATULUD'!E$6:E$813)</f>
        <v>2889587</v>
      </c>
      <c r="F7" s="8">
        <f ca="1">SUMIF('2.2 OMATULUD'!$A$6:F$813,$A7,'2.2 OMATULUD'!F$6:F$813)</f>
        <v>13122812</v>
      </c>
      <c r="G7" s="8">
        <f ca="1">SUMIF('2.2 OMATULUD'!$A$6:G$813,$A7,'2.2 OMATULUD'!G$6:G$813)</f>
        <v>9422513</v>
      </c>
      <c r="H7" s="8">
        <f ca="1">SUMIF('2.2 OMATULUD'!$A$6:J$813,$A7,'2.2 OMATULUD'!J$6:J$813)</f>
        <v>-3700299</v>
      </c>
      <c r="I7" s="8"/>
      <c r="J7" s="8"/>
      <c r="K7" s="8"/>
      <c r="L7" s="8"/>
      <c r="M7" s="8"/>
    </row>
    <row r="8" spans="1:13">
      <c r="A8" s="6" t="s">
        <v>56</v>
      </c>
      <c r="B8" s="8">
        <f ca="1">SUMIF('2.2 OMATULUD'!$A$6:B$813,$A8,'2.2 OMATULUD'!B$6:B$813)</f>
        <v>4548225</v>
      </c>
      <c r="C8" s="8">
        <f ca="1">SUMIF('2.2 OMATULUD'!$A$6:C$813,$A8,'2.2 OMATULUD'!C$6:C$813)</f>
        <v>0</v>
      </c>
      <c r="D8" s="8">
        <f ca="1">SUMIF('2.2 OMATULUD'!$A$6:D$813,$A8,'2.2 OMATULUD'!D$6:D$813)</f>
        <v>77775</v>
      </c>
      <c r="E8" s="8">
        <f ca="1">SUMIF('2.2 OMATULUD'!$A$6:E$813,$A8,'2.2 OMATULUD'!E$6:E$813)</f>
        <v>-161670</v>
      </c>
      <c r="F8" s="8">
        <f ca="1">SUMIF('2.2 OMATULUD'!$A$6:F$813,$A8,'2.2 OMATULUD'!F$6:F$813)</f>
        <v>4464330</v>
      </c>
      <c r="G8" s="8">
        <f ca="1">SUMIF('2.2 OMATULUD'!$A$6:G$813,$A8,'2.2 OMATULUD'!G$6:G$813)</f>
        <v>4722889</v>
      </c>
      <c r="H8" s="8">
        <f ca="1">SUMIF('2.2 OMATULUD'!$A$6:J$813,$A8,'2.2 OMATULUD'!J$6:J$813)</f>
        <v>258559</v>
      </c>
      <c r="I8" s="8"/>
      <c r="J8" s="8"/>
      <c r="K8" s="8"/>
      <c r="L8" s="8"/>
      <c r="M8" s="8"/>
    </row>
    <row r="9" spans="1:13">
      <c r="A9" s="6" t="s">
        <v>62</v>
      </c>
      <c r="B9" s="8">
        <f ca="1">SUMIF('2.2 OMATULUD'!$A$6:B$813,$A9,'2.2 OMATULUD'!B$6:B$813)</f>
        <v>14499371</v>
      </c>
      <c r="C9" s="8">
        <f ca="1">SUMIF('2.2 OMATULUD'!$A$6:C$813,$A9,'2.2 OMATULUD'!C$6:C$813)</f>
        <v>0</v>
      </c>
      <c r="D9" s="8">
        <f ca="1">SUMIF('2.2 OMATULUD'!$A$6:D$813,$A9,'2.2 OMATULUD'!D$6:D$813)</f>
        <v>1934251</v>
      </c>
      <c r="E9" s="8">
        <f ca="1">SUMIF('2.2 OMATULUD'!$A$6:E$813,$A9,'2.2 OMATULUD'!E$6:E$813)</f>
        <v>86253</v>
      </c>
      <c r="F9" s="8">
        <f ca="1">SUMIF('2.2 OMATULUD'!$A$6:F$813,$A9,'2.2 OMATULUD'!F$6:F$813)</f>
        <v>16519875</v>
      </c>
      <c r="G9" s="8">
        <f ca="1">SUMIF('2.2 OMATULUD'!$A$6:G$813,$A9,'2.2 OMATULUD'!G$6:G$813)</f>
        <v>15888477</v>
      </c>
      <c r="H9" s="8">
        <f ca="1">SUMIF('2.2 OMATULUD'!$A$6:J$813,$A9,'2.2 OMATULUD'!J$6:J$813)</f>
        <v>-631398</v>
      </c>
      <c r="I9" s="8"/>
      <c r="J9" s="8"/>
      <c r="K9" s="8"/>
      <c r="L9" s="8"/>
      <c r="M9" s="8"/>
    </row>
    <row r="10" spans="1:13">
      <c r="A10" s="6" t="s">
        <v>53</v>
      </c>
      <c r="B10" s="8">
        <f ca="1">SUMIF('2.2 OMATULUD'!$A$6:B$813,$A10,'2.2 OMATULUD'!B$6:B$813)</f>
        <v>315041</v>
      </c>
      <c r="C10" s="8">
        <f ca="1">SUMIF('2.2 OMATULUD'!$A$6:C$813,$A10,'2.2 OMATULUD'!C$6:C$813)</f>
        <v>0</v>
      </c>
      <c r="D10" s="8">
        <f ca="1">SUMIF('2.2 OMATULUD'!$A$6:D$813,$A10,'2.2 OMATULUD'!D$6:D$813)</f>
        <v>6500</v>
      </c>
      <c r="E10" s="8">
        <f ca="1">SUMIF('2.2 OMATULUD'!$A$6:E$813,$A10,'2.2 OMATULUD'!E$6:E$813)</f>
        <v>-27900</v>
      </c>
      <c r="F10" s="8">
        <f ca="1">SUMIF('2.2 OMATULUD'!$A$6:F$813,$A10,'2.2 OMATULUD'!F$6:F$813)</f>
        <v>293641</v>
      </c>
      <c r="G10" s="8">
        <f ca="1">SUMIF('2.2 OMATULUD'!$A$6:G$813,$A10,'2.2 OMATULUD'!G$6:G$813)</f>
        <v>320541</v>
      </c>
      <c r="H10" s="8">
        <f ca="1">SUMIF('2.2 OMATULUD'!$A$6:J$813,$A10,'2.2 OMATULUD'!J$6:J$813)</f>
        <v>26900</v>
      </c>
      <c r="I10" s="8"/>
      <c r="J10" s="8"/>
      <c r="K10" s="8"/>
      <c r="L10" s="8"/>
      <c r="M10" s="8"/>
    </row>
    <row r="11" spans="1:13">
      <c r="A11" s="7" t="s">
        <v>63</v>
      </c>
      <c r="B11" s="8">
        <f ca="1">SUMIF('2.2 OMATULUD'!$A$6:B$813,$A11,'2.2 OMATULUD'!B$6:B$813)</f>
        <v>1363700</v>
      </c>
      <c r="C11" s="8">
        <f ca="1">SUMIF('2.2 OMATULUD'!$A$6:C$813,$A11,'2.2 OMATULUD'!C$6:C$813)</f>
        <v>0</v>
      </c>
      <c r="D11" s="8">
        <f ca="1">SUMIF('2.2 OMATULUD'!$A$6:D$813,$A11,'2.2 OMATULUD'!D$6:D$813)</f>
        <v>0</v>
      </c>
      <c r="E11" s="8">
        <f ca="1">SUMIF('2.2 OMATULUD'!$A$6:E$813,$A11,'2.2 OMATULUD'!E$6:E$813)</f>
        <v>14700</v>
      </c>
      <c r="F11" s="8">
        <f ca="1">SUMIF('2.2 OMATULUD'!$A$6:F$813,$A11,'2.2 OMATULUD'!F$6:F$813)</f>
        <v>1378400</v>
      </c>
      <c r="G11" s="8">
        <f ca="1">SUMIF('2.2 OMATULUD'!$A$6:G$813,$A11,'2.2 OMATULUD'!G$6:G$813)</f>
        <v>1374400</v>
      </c>
      <c r="H11" s="8">
        <f ca="1">SUMIF('2.2 OMATULUD'!$A$6:J$813,$A11,'2.2 OMATULUD'!J$6:J$813)</f>
        <v>-4000</v>
      </c>
      <c r="I11" s="8"/>
      <c r="J11" s="8"/>
      <c r="K11" s="8"/>
      <c r="L11" s="8"/>
      <c r="M11" s="8"/>
    </row>
    <row r="12" spans="1:13">
      <c r="A12" s="5" t="s">
        <v>57</v>
      </c>
      <c r="B12" s="8">
        <f ca="1">SUMIF('2.2 OMATULUD'!$A$6:B$813,$A12,'2.2 OMATULUD'!B$6:B$813)</f>
        <v>170000</v>
      </c>
      <c r="C12" s="8">
        <f ca="1">SUMIF('2.2 OMATULUD'!$A$6:C$813,$A12,'2.2 OMATULUD'!C$6:C$813)</f>
        <v>0</v>
      </c>
      <c r="D12" s="8">
        <f ca="1">SUMIF('2.2 OMATULUD'!$A$6:D$813,$A12,'2.2 OMATULUD'!D$6:D$813)</f>
        <v>12041</v>
      </c>
      <c r="E12" s="8">
        <f ca="1">SUMIF('2.2 OMATULUD'!$A$6:E$813,$A12,'2.2 OMATULUD'!E$6:E$813)</f>
        <v>10000</v>
      </c>
      <c r="F12" s="8">
        <f ca="1">SUMIF('2.2 OMATULUD'!$A$6:F$813,$A12,'2.2 OMATULUD'!F$6:F$813)</f>
        <v>192041</v>
      </c>
      <c r="G12" s="8">
        <f ca="1">SUMIF('2.2 OMATULUD'!$A$6:G$813,$A12,'2.2 OMATULUD'!G$6:G$813)</f>
        <v>170000</v>
      </c>
      <c r="H12" s="8">
        <f ca="1">SUMIF('2.2 OMATULUD'!$A$6:J$813,$A12,'2.2 OMATULUD'!J$6:J$813)</f>
        <v>-22041</v>
      </c>
      <c r="I12" s="8"/>
      <c r="J12" s="8"/>
      <c r="K12" s="8"/>
      <c r="L12" s="8"/>
      <c r="M12" s="8"/>
    </row>
    <row r="13" spans="1:13">
      <c r="A13" s="5" t="s">
        <v>52</v>
      </c>
      <c r="B13" s="8">
        <f ca="1">SUMIF('2.2 OMATULUD'!$A$6:B$813,$A13,'2.2 OMATULUD'!B$6:B$813)</f>
        <v>3155430</v>
      </c>
      <c r="C13" s="8">
        <f ca="1">SUMIF('2.2 OMATULUD'!$A$6:C$813,$A13,'2.2 OMATULUD'!C$6:C$813)</f>
        <v>0</v>
      </c>
      <c r="D13" s="8">
        <f ca="1">SUMIF('2.2 OMATULUD'!$A$6:D$813,$A13,'2.2 OMATULUD'!D$6:D$813)</f>
        <v>283460</v>
      </c>
      <c r="E13" s="8">
        <f ca="1">SUMIF('2.2 OMATULUD'!$A$6:E$813,$A13,'2.2 OMATULUD'!E$6:E$813)</f>
        <v>330055</v>
      </c>
      <c r="F13" s="8">
        <f ca="1">SUMIF('2.2 OMATULUD'!$A$6:F$813,$A13,'2.2 OMATULUD'!F$6:F$813)</f>
        <v>3768945</v>
      </c>
      <c r="G13" s="8">
        <f ca="1">SUMIF('2.2 OMATULUD'!$A$6:G$813,$A13,'2.2 OMATULUD'!G$6:G$813)</f>
        <v>3435271</v>
      </c>
      <c r="H13" s="8">
        <f ca="1">SUMIF('2.2 OMATULUD'!$A$6:J$813,$A13,'2.2 OMATULUD'!J$6:J$813)</f>
        <v>-333674</v>
      </c>
      <c r="I13" s="8"/>
      <c r="J13" s="8"/>
      <c r="K13" s="8"/>
      <c r="L13" s="8"/>
      <c r="M13" s="8"/>
    </row>
    <row r="14" spans="1:13">
      <c r="A14" s="5" t="s">
        <v>58</v>
      </c>
      <c r="B14" s="8">
        <f ca="1">SUMIF('2.2 OMATULUD'!$A$6:B$813,$A14,'2.2 OMATULUD'!B$6:B$813)</f>
        <v>2135578</v>
      </c>
      <c r="C14" s="8">
        <f ca="1">SUMIF('2.2 OMATULUD'!$A$6:C$813,$A14,'2.2 OMATULUD'!C$6:C$813)</f>
        <v>0</v>
      </c>
      <c r="D14" s="8">
        <f ca="1">SUMIF('2.2 OMATULUD'!$A$6:D$813,$A14,'2.2 OMATULUD'!D$6:D$813)</f>
        <v>-66135</v>
      </c>
      <c r="E14" s="8">
        <f ca="1">SUMIF('2.2 OMATULUD'!$A$6:E$813,$A14,'2.2 OMATULUD'!E$6:E$813)</f>
        <v>-426960</v>
      </c>
      <c r="F14" s="8">
        <f ca="1">SUMIF('2.2 OMATULUD'!$A$6:F$813,$A14,'2.2 OMATULUD'!F$6:F$813)</f>
        <v>1642483</v>
      </c>
      <c r="G14" s="8">
        <f ca="1">SUMIF('2.2 OMATULUD'!$A$6:G$813,$A14,'2.2 OMATULUD'!G$6:G$813)</f>
        <v>2191110</v>
      </c>
      <c r="H14" s="8">
        <f ca="1">SUMIF('2.2 OMATULUD'!$A$6:J$813,$A14,'2.2 OMATULUD'!J$6:J$813)</f>
        <v>548627</v>
      </c>
      <c r="I14" s="8"/>
      <c r="J14" s="8"/>
      <c r="K14" s="8"/>
      <c r="L14" s="8"/>
      <c r="M14" s="8"/>
    </row>
    <row r="15" spans="1:13">
      <c r="A15" s="5" t="s">
        <v>51</v>
      </c>
      <c r="B15" s="8">
        <f ca="1">SUMIF('2.2 OMATULUD'!$A$6:B$813,$A15,'2.2 OMATULUD'!B$6:B$813)</f>
        <v>12712734</v>
      </c>
      <c r="C15" s="8">
        <f ca="1">SUMIF('2.2 OMATULUD'!$A$6:C$813,$A15,'2.2 OMATULUD'!C$6:C$813)</f>
        <v>0</v>
      </c>
      <c r="D15" s="8">
        <f ca="1">SUMIF('2.2 OMATULUD'!$A$6:D$813,$A15,'2.2 OMATULUD'!D$6:D$813)</f>
        <v>539909</v>
      </c>
      <c r="E15" s="8">
        <f ca="1">SUMIF('2.2 OMATULUD'!$A$6:E$813,$A15,'2.2 OMATULUD'!E$6:E$813)</f>
        <v>875067</v>
      </c>
      <c r="F15" s="8">
        <f ca="1">SUMIF('2.2 OMATULUD'!$A$6:F$813,$A15,'2.2 OMATULUD'!F$6:F$813)</f>
        <v>14127710</v>
      </c>
      <c r="G15" s="8">
        <f ca="1">SUMIF('2.2 OMATULUD'!$A$6:G$813,$A15,'2.2 OMATULUD'!G$6:G$813)</f>
        <v>15499025</v>
      </c>
      <c r="H15" s="8">
        <f ca="1">SUMIF('2.2 OMATULUD'!$A$6:J$813,$A15,'2.2 OMATULUD'!J$6:J$813)</f>
        <v>1371315</v>
      </c>
      <c r="I15" s="8"/>
      <c r="J15" s="8"/>
      <c r="K15" s="8"/>
      <c r="L15" s="8"/>
      <c r="M15" s="8"/>
    </row>
    <row r="16" spans="1:13">
      <c r="A16" s="29" t="s">
        <v>12</v>
      </c>
      <c r="B16" s="8">
        <f ca="1">SUMIF('2.2 OMATULUD'!$A$6:B$813,$A16,'2.2 OMATULUD'!B$6:B$813)</f>
        <v>0</v>
      </c>
      <c r="C16" s="8">
        <f ca="1">SUMIF('2.2 OMATULUD'!$A$6:C$813,$A16,'2.2 OMATULUD'!C$6:C$813)</f>
        <v>0</v>
      </c>
      <c r="D16" s="8">
        <f ca="1">SUMIF('2.2 OMATULUD'!$A$6:D$813,$A16,'2.2 OMATULUD'!D$6:D$813)</f>
        <v>0</v>
      </c>
      <c r="E16" s="8">
        <f ca="1">SUMIF('2.2 OMATULUD'!$A$6:E$813,$A16,'2.2 OMATULUD'!E$6:E$813)</f>
        <v>0</v>
      </c>
      <c r="F16" s="8">
        <f ca="1">SUMIF('2.2 OMATULUD'!$A$6:F$813,$A16,'2.2 OMATULUD'!F$6:F$813)</f>
        <v>0</v>
      </c>
      <c r="G16" s="8">
        <f ca="1">SUMIF('2.2 OMATULUD'!$A$6:G$813,$A16,'2.2 OMATULUD'!G$6:G$813)</f>
        <v>0</v>
      </c>
      <c r="H16" s="8">
        <f ca="1">SUMIF('2.2 OMATULUD'!$A$6:J$813,$A16,'2.2 OMATULUD'!J$6:J$813)</f>
        <v>0</v>
      </c>
      <c r="I16" s="8"/>
      <c r="J16" s="8"/>
      <c r="K16" s="8"/>
      <c r="L16" s="8"/>
      <c r="M16" s="8"/>
    </row>
    <row r="17" spans="1:13">
      <c r="A17" s="27" t="s">
        <v>67</v>
      </c>
      <c r="B17" s="8">
        <f ca="1">SUMIF('2.2 OMATULUD'!$A$6:B$813,$A17,'2.2 OMATULUD'!B$6:B$813)</f>
        <v>3500</v>
      </c>
      <c r="C17" s="8">
        <f ca="1">SUMIF('2.2 OMATULUD'!$A$6:C$813,$A17,'2.2 OMATULUD'!C$6:C$813)</f>
        <v>0</v>
      </c>
      <c r="D17" s="8">
        <f ca="1">SUMIF('2.2 OMATULUD'!$A$6:D$813,$A17,'2.2 OMATULUD'!D$6:D$813)</f>
        <v>0</v>
      </c>
      <c r="E17" s="8">
        <f ca="1">SUMIF('2.2 OMATULUD'!$A$6:E$813,$A17,'2.2 OMATULUD'!E$6:E$813)</f>
        <v>2200</v>
      </c>
      <c r="F17" s="8">
        <f ca="1">SUMIF('2.2 OMATULUD'!$A$6:F$813,$A17,'2.2 OMATULUD'!F$6:F$813)</f>
        <v>5700</v>
      </c>
      <c r="G17" s="8">
        <f ca="1">SUMIF('2.2 OMATULUD'!$A$6:G$813,$A17,'2.2 OMATULUD'!G$6:G$813)</f>
        <v>3500</v>
      </c>
      <c r="H17" s="8">
        <f ca="1">SUMIF('2.2 OMATULUD'!$A$6:J$813,$A17,'2.2 OMATULUD'!J$6:J$813)</f>
        <v>-2200</v>
      </c>
      <c r="I17" s="8"/>
      <c r="J17" s="8"/>
      <c r="K17" s="8"/>
      <c r="L17" s="8"/>
      <c r="M17" s="8"/>
    </row>
    <row r="18" spans="1:13">
      <c r="A18" s="3" t="s">
        <v>13</v>
      </c>
      <c r="B18" s="9">
        <f ca="1">B12+B13+B14+B15+B1+B17</f>
        <v>89458539</v>
      </c>
      <c r="C18" s="9">
        <f t="shared" ref="C18:H18" ca="1" si="2">C12+C13+C14+C15+C1+C17</f>
        <v>0</v>
      </c>
      <c r="D18" s="9">
        <f t="shared" ca="1" si="2"/>
        <v>4842245</v>
      </c>
      <c r="E18" s="9">
        <f t="shared" ref="E18" ca="1" si="3">E12+E13+E14+E15+E1+E17</f>
        <v>4962164</v>
      </c>
      <c r="F18" s="9">
        <f t="shared" ca="1" si="2"/>
        <v>99262948</v>
      </c>
      <c r="G18" s="9">
        <f t="shared" ca="1" si="2"/>
        <v>96159536</v>
      </c>
      <c r="H18" s="9">
        <f t="shared" ca="1" si="2"/>
        <v>-3103412</v>
      </c>
      <c r="I18" s="9"/>
      <c r="J18" s="9"/>
      <c r="K18" s="9"/>
      <c r="L18" s="9"/>
      <c r="M18" s="9"/>
    </row>
    <row r="19" spans="1:13">
      <c r="A19" s="5"/>
      <c r="B19" s="23">
        <f ca="1">B18-'2.2 OMATULUD'!B813</f>
        <v>0</v>
      </c>
      <c r="C19" s="23">
        <f ca="1">C18-'2.2 OMATULUD'!C813</f>
        <v>0</v>
      </c>
      <c r="D19" s="23">
        <f ca="1">D18-'2.2 OMATULUD'!D813</f>
        <v>0</v>
      </c>
      <c r="E19" s="23">
        <f ca="1">E18-'2.2 OMATULUD'!E813</f>
        <v>0</v>
      </c>
      <c r="F19" s="23">
        <f ca="1">F18-'2.2 OMATULUD'!F813</f>
        <v>0</v>
      </c>
      <c r="G19" s="23">
        <f ca="1">G18-'2.2 OMATULUD'!G813</f>
        <v>0</v>
      </c>
      <c r="H19" s="23">
        <f ca="1">H18-'2.2 OMATULUD'!J813</f>
        <v>0</v>
      </c>
      <c r="I19" s="23"/>
      <c r="J19" s="23"/>
      <c r="K19" s="23"/>
      <c r="L19" s="23"/>
      <c r="M19" s="23"/>
    </row>
    <row r="21" spans="1:13">
      <c r="C21" s="5"/>
    </row>
    <row r="23" spans="1:13">
      <c r="A23" s="32"/>
      <c r="B23" s="33"/>
    </row>
    <row r="24" spans="1:13">
      <c r="A24" s="30"/>
      <c r="B24" s="4"/>
    </row>
    <row r="25" spans="1:13">
      <c r="A25" s="26"/>
      <c r="B25" s="15"/>
      <c r="C25" s="15"/>
      <c r="D25" s="15"/>
      <c r="E25" s="15"/>
      <c r="F25" s="15"/>
      <c r="G25" s="15"/>
      <c r="H25" s="15"/>
      <c r="I25" s="15"/>
      <c r="J25" s="15"/>
    </row>
    <row r="26" spans="1:13">
      <c r="A26" s="41"/>
      <c r="B26" s="15"/>
      <c r="C26" s="15"/>
      <c r="D26" s="15"/>
      <c r="E26" s="15"/>
      <c r="F26" s="15"/>
      <c r="G26" s="15"/>
      <c r="H26" s="15"/>
      <c r="I26" s="15"/>
      <c r="J26" s="15"/>
    </row>
    <row r="27" spans="1:13">
      <c r="A27" s="41"/>
      <c r="B27" s="15"/>
      <c r="H27" s="15"/>
    </row>
    <row r="28" spans="1:13">
      <c r="A28" s="52"/>
      <c r="B28" s="15"/>
      <c r="H28" s="15"/>
    </row>
    <row r="29" spans="1:13">
      <c r="A29" s="41"/>
      <c r="B29" s="15"/>
      <c r="H29" s="15"/>
    </row>
    <row r="30" spans="1:13">
      <c r="A30" s="41"/>
      <c r="B30" s="15"/>
      <c r="C30" s="15"/>
      <c r="H30" s="15"/>
    </row>
    <row r="31" spans="1:13">
      <c r="A31" s="52"/>
      <c r="B31" s="15"/>
      <c r="C31" s="15"/>
      <c r="H31" s="15"/>
    </row>
    <row r="32" spans="1:13">
      <c r="A32" s="41"/>
      <c r="B32" s="15"/>
      <c r="C32" s="15"/>
      <c r="H32" s="15"/>
    </row>
    <row r="33" spans="1:10">
      <c r="A33" s="41"/>
      <c r="B33" s="15"/>
      <c r="H33" s="15"/>
    </row>
    <row r="34" spans="1:10">
      <c r="A34" s="42"/>
      <c r="B34" s="43"/>
      <c r="C34" s="43"/>
      <c r="D34" s="43"/>
      <c r="E34" s="43"/>
      <c r="F34" s="43"/>
      <c r="G34" s="43"/>
      <c r="H34" s="43"/>
      <c r="I34" s="33"/>
      <c r="J34" s="15"/>
    </row>
    <row r="35" spans="1:10">
      <c r="A35" s="31"/>
      <c r="B35" s="15"/>
      <c r="C35" s="15"/>
      <c r="D35" s="15"/>
      <c r="E35" s="15"/>
      <c r="F35" s="15"/>
      <c r="G35" s="15"/>
      <c r="H35" s="15"/>
    </row>
    <row r="36" spans="1:10">
      <c r="A36" s="41"/>
      <c r="B36" s="15"/>
      <c r="C36" s="15"/>
      <c r="D36" s="15"/>
      <c r="E36" s="15"/>
      <c r="F36" s="15"/>
      <c r="G36" s="15"/>
      <c r="H36" s="15"/>
    </row>
    <row r="37" spans="1:10">
      <c r="A37" s="41"/>
      <c r="B37" s="15"/>
      <c r="H37" s="15"/>
    </row>
    <row r="38" spans="1:10">
      <c r="A38" s="41"/>
      <c r="B38" s="15"/>
      <c r="H38" s="15"/>
    </row>
    <row r="39" spans="1:10">
      <c r="A39" s="52"/>
      <c r="B39" s="15"/>
      <c r="H39" s="15"/>
    </row>
    <row r="40" spans="1:10">
      <c r="A40" s="52"/>
      <c r="B40" s="15"/>
      <c r="H40" s="15"/>
    </row>
    <row r="41" spans="1:10">
      <c r="A41" s="52"/>
      <c r="B41" s="15"/>
      <c r="H41" s="15"/>
    </row>
    <row r="42" spans="1:10">
      <c r="A42" s="41"/>
      <c r="B42" s="15"/>
      <c r="H42" s="15"/>
    </row>
    <row r="43" spans="1:10">
      <c r="A43" s="44"/>
      <c r="B43" s="13"/>
      <c r="C43" s="13"/>
      <c r="D43" s="13"/>
      <c r="E43" s="13"/>
      <c r="F43" s="13"/>
      <c r="G43" s="13"/>
      <c r="H43" s="13"/>
    </row>
    <row r="44" spans="1:10">
      <c r="A44" s="41"/>
      <c r="B44" s="15"/>
      <c r="C44" s="15"/>
      <c r="D44" s="15"/>
      <c r="E44" s="15"/>
      <c r="F44" s="15"/>
      <c r="G44" s="15"/>
      <c r="H44" s="15"/>
    </row>
    <row r="45" spans="1:10">
      <c r="B45" s="15"/>
      <c r="C45" s="15"/>
      <c r="D45" s="15"/>
      <c r="E45" s="15"/>
      <c r="F45" s="15"/>
      <c r="G45" s="15"/>
      <c r="H45" s="15"/>
    </row>
    <row r="50" spans="1:8">
      <c r="A50" s="57"/>
      <c r="B50" s="71"/>
      <c r="C50" s="56"/>
      <c r="D50" s="56"/>
      <c r="E50" s="56"/>
      <c r="F50" s="57"/>
    </row>
    <row r="51" spans="1:8">
      <c r="A51" s="57"/>
      <c r="B51" s="70"/>
      <c r="C51" s="56"/>
      <c r="D51" s="56"/>
      <c r="E51" s="56"/>
      <c r="F51" s="58"/>
    </row>
    <row r="52" spans="1:8">
      <c r="A52" s="57"/>
      <c r="B52" s="70"/>
      <c r="C52" s="56"/>
      <c r="D52" s="56"/>
      <c r="E52" s="56"/>
      <c r="F52" s="69"/>
      <c r="G52" s="72"/>
      <c r="H52" s="73"/>
    </row>
    <row r="53" spans="1:8">
      <c r="A53" s="57"/>
      <c r="B53" s="70"/>
      <c r="C53" s="56"/>
      <c r="D53" s="56"/>
      <c r="E53" s="56"/>
      <c r="F53" s="69"/>
      <c r="G53" s="72"/>
      <c r="H53" s="73"/>
    </row>
    <row r="54" spans="1:8">
      <c r="A54" s="57"/>
      <c r="B54" s="70"/>
      <c r="C54" s="56"/>
      <c r="D54" s="56"/>
      <c r="E54" s="56"/>
      <c r="F54" s="69"/>
      <c r="G54" s="72"/>
      <c r="H54" s="73"/>
    </row>
    <row r="55" spans="1:8">
      <c r="A55" s="57"/>
      <c r="B55" s="70"/>
      <c r="C55" s="56"/>
      <c r="D55" s="56"/>
      <c r="E55" s="56"/>
      <c r="F55" s="69"/>
      <c r="G55" s="72"/>
      <c r="H55" s="73"/>
    </row>
    <row r="56" spans="1:8">
      <c r="A56" s="57"/>
      <c r="B56" s="70"/>
      <c r="C56" s="56"/>
      <c r="D56" s="56"/>
      <c r="E56" s="56"/>
      <c r="F56" s="69"/>
      <c r="G56" s="72"/>
      <c r="H56" s="73"/>
    </row>
    <row r="57" spans="1:8">
      <c r="A57" s="57"/>
      <c r="B57" s="70"/>
      <c r="C57" s="56"/>
      <c r="D57" s="56"/>
      <c r="E57" s="56"/>
      <c r="F57" s="69"/>
      <c r="G57" s="72"/>
      <c r="H57" s="73"/>
    </row>
    <row r="58" spans="1:8">
      <c r="A58" s="57"/>
      <c r="B58" s="70"/>
      <c r="C58" s="56"/>
      <c r="D58" s="56"/>
      <c r="E58" s="56"/>
      <c r="F58" s="69"/>
      <c r="G58" s="72"/>
      <c r="H58" s="73"/>
    </row>
    <row r="59" spans="1:8">
      <c r="A59" s="57"/>
      <c r="B59" s="70"/>
      <c r="C59" s="56"/>
      <c r="D59" s="56"/>
      <c r="E59" s="56"/>
      <c r="F59" s="69"/>
      <c r="G59" s="72"/>
      <c r="H59" s="73"/>
    </row>
    <row r="60" spans="1:8">
      <c r="A60" s="57"/>
      <c r="B60" s="70"/>
      <c r="C60" s="56"/>
      <c r="D60" s="56"/>
      <c r="E60" s="56"/>
      <c r="F60" s="69"/>
    </row>
    <row r="61" spans="1:8">
      <c r="A61" s="57"/>
      <c r="B61" s="70"/>
      <c r="C61" s="56"/>
      <c r="D61" s="56"/>
      <c r="E61" s="56"/>
      <c r="F61" s="69"/>
    </row>
  </sheetData>
  <phoneticPr fontId="39"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N849"/>
  <sheetViews>
    <sheetView showZeros="0" zoomScaleNormal="100" workbookViewId="0">
      <pane xSplit="1" ySplit="4" topLeftCell="B5" activePane="bottomRight" state="frozen"/>
      <selection activeCell="N23" sqref="N23"/>
      <selection pane="topRight" activeCell="N23" sqref="N23"/>
      <selection pane="bottomLeft" activeCell="N23" sqref="N23"/>
      <selection pane="bottomRight" activeCell="N23" sqref="N23"/>
    </sheetView>
  </sheetViews>
  <sheetFormatPr defaultColWidth="9.44140625" defaultRowHeight="13.2"/>
  <cols>
    <col min="1" max="1" width="50" style="12" customWidth="1"/>
    <col min="2" max="2" width="11.5546875" style="55" customWidth="1"/>
    <col min="3" max="5" width="11.5546875" style="55" hidden="1" customWidth="1"/>
    <col min="6" max="6" width="11.5546875" style="22" customWidth="1"/>
    <col min="7" max="9" width="11" style="22" customWidth="1"/>
    <col min="10" max="10" width="10.44140625" style="22" bestFit="1" customWidth="1"/>
    <col min="11" max="16384" width="9.44140625" style="22"/>
  </cols>
  <sheetData>
    <row r="1" spans="1:11" ht="13.8">
      <c r="A1" s="1" t="s">
        <v>49</v>
      </c>
      <c r="B1" s="53"/>
      <c r="C1" s="53"/>
      <c r="D1" s="53"/>
      <c r="E1" s="53"/>
      <c r="G1" s="87"/>
      <c r="H1" s="87"/>
      <c r="I1" s="87"/>
    </row>
    <row r="2" spans="1:11" ht="13.8">
      <c r="A2" s="1"/>
      <c r="B2" s="53"/>
      <c r="C2" s="53"/>
      <c r="D2" s="53"/>
      <c r="E2" s="53"/>
      <c r="G2" s="89"/>
      <c r="H2" s="89"/>
      <c r="I2" s="89"/>
    </row>
    <row r="3" spans="1:11" ht="27" customHeight="1">
      <c r="A3" s="46"/>
      <c r="B3" s="760">
        <v>2022</v>
      </c>
      <c r="C3" s="761"/>
      <c r="D3" s="761"/>
      <c r="E3" s="761"/>
      <c r="F3" s="762"/>
      <c r="G3" s="638">
        <v>2023</v>
      </c>
      <c r="H3" s="758" t="s">
        <v>1212</v>
      </c>
      <c r="I3" s="759"/>
      <c r="J3" s="756" t="s">
        <v>1213</v>
      </c>
      <c r="K3" s="757"/>
    </row>
    <row r="4" spans="1:11" ht="27" customHeight="1">
      <c r="B4" s="644" t="s">
        <v>667</v>
      </c>
      <c r="C4" s="644" t="s">
        <v>827</v>
      </c>
      <c r="D4" s="644" t="s">
        <v>828</v>
      </c>
      <c r="E4" s="644" t="s">
        <v>1187</v>
      </c>
      <c r="F4" s="644" t="s">
        <v>668</v>
      </c>
      <c r="G4" s="639" t="s">
        <v>1211</v>
      </c>
      <c r="H4" s="640" t="s">
        <v>14</v>
      </c>
      <c r="I4" s="641" t="s">
        <v>743</v>
      </c>
      <c r="J4" s="642" t="s">
        <v>14</v>
      </c>
      <c r="K4" s="643" t="s">
        <v>743</v>
      </c>
    </row>
    <row r="6" spans="1:11" s="28" customFormat="1">
      <c r="A6" s="106" t="s">
        <v>50</v>
      </c>
      <c r="B6" s="107">
        <f t="shared" ref="B6" si="0">B7</f>
        <v>28450</v>
      </c>
      <c r="C6" s="153"/>
      <c r="D6" s="107">
        <f>D7+D10</f>
        <v>-23680</v>
      </c>
      <c r="E6" s="107"/>
      <c r="F6" s="107">
        <f>SUM(B6:E6)</f>
        <v>4770</v>
      </c>
      <c r="G6" s="107">
        <f>G7+G10</f>
        <v>700</v>
      </c>
      <c r="H6" s="107">
        <f>G6-B6</f>
        <v>-27750</v>
      </c>
      <c r="I6" s="156">
        <f>H6/B6</f>
        <v>-0.97539543057996481</v>
      </c>
      <c r="J6" s="107">
        <f>G6-F6</f>
        <v>-4070</v>
      </c>
      <c r="K6" s="156">
        <f t="shared" ref="K6" si="1">IF(G6=0,"",J6/F6)</f>
        <v>-0.85324947589098532</v>
      </c>
    </row>
    <row r="7" spans="1:11" s="28" customFormat="1">
      <c r="A7" s="111" t="s">
        <v>51</v>
      </c>
      <c r="B7" s="108">
        <f t="shared" ref="B7" si="2">B9+B8</f>
        <v>28450</v>
      </c>
      <c r="C7" s="153"/>
      <c r="D7" s="108">
        <f t="shared" ref="D7" si="3">D9+D8</f>
        <v>-24380</v>
      </c>
      <c r="E7" s="108"/>
      <c r="F7" s="108">
        <f t="shared" ref="F7:F70" si="4">SUM(B7:E7)</f>
        <v>4070</v>
      </c>
      <c r="G7" s="108">
        <f t="shared" ref="G7" si="5">G9+G8</f>
        <v>0</v>
      </c>
      <c r="H7" s="108">
        <f t="shared" ref="H7:H68" si="6">G7-B7</f>
        <v>-28450</v>
      </c>
      <c r="I7" s="158">
        <f t="shared" ref="I7:I68" si="7">H7/B7</f>
        <v>-1</v>
      </c>
      <c r="J7" s="108">
        <f t="shared" ref="J7:J68" si="8">G7-F7</f>
        <v>-4070</v>
      </c>
      <c r="K7" s="158" t="str">
        <f t="shared" ref="K7:K68" si="9">IF(G7=0,"",J7/F7)</f>
        <v/>
      </c>
    </row>
    <row r="8" spans="1:11" s="28" customFormat="1">
      <c r="A8" s="82" t="s">
        <v>69</v>
      </c>
      <c r="B8" s="118">
        <v>22050</v>
      </c>
      <c r="C8" s="153"/>
      <c r="D8" s="118">
        <v>-20420</v>
      </c>
      <c r="E8" s="118"/>
      <c r="F8" s="118">
        <f t="shared" si="4"/>
        <v>1630</v>
      </c>
      <c r="G8" s="253">
        <f>1670-1670</f>
        <v>0</v>
      </c>
      <c r="H8" s="118">
        <f t="shared" si="6"/>
        <v>-22050</v>
      </c>
      <c r="I8" s="159">
        <f t="shared" si="7"/>
        <v>-1</v>
      </c>
      <c r="J8" s="118">
        <f t="shared" si="8"/>
        <v>-1630</v>
      </c>
      <c r="K8" s="159" t="str">
        <f t="shared" si="9"/>
        <v/>
      </c>
    </row>
    <row r="9" spans="1:11" s="28" customFormat="1">
      <c r="A9" s="82" t="s">
        <v>70</v>
      </c>
      <c r="B9" s="118">
        <v>6400</v>
      </c>
      <c r="C9" s="153"/>
      <c r="D9" s="118">
        <v>-3960</v>
      </c>
      <c r="E9" s="118"/>
      <c r="F9" s="118">
        <f t="shared" si="4"/>
        <v>2440</v>
      </c>
      <c r="G9" s="253">
        <f>2000-2000</f>
        <v>0</v>
      </c>
      <c r="H9" s="118">
        <f t="shared" si="6"/>
        <v>-6400</v>
      </c>
      <c r="I9" s="159">
        <f t="shared" si="7"/>
        <v>-1</v>
      </c>
      <c r="J9" s="118">
        <f t="shared" si="8"/>
        <v>-2440</v>
      </c>
      <c r="K9" s="159" t="str">
        <f t="shared" si="9"/>
        <v/>
      </c>
    </row>
    <row r="10" spans="1:11">
      <c r="A10" s="111" t="s">
        <v>52</v>
      </c>
      <c r="B10" s="118"/>
      <c r="C10" s="153"/>
      <c r="D10" s="118">
        <f>D11</f>
        <v>700</v>
      </c>
      <c r="E10" s="118"/>
      <c r="F10" s="118">
        <f t="shared" si="4"/>
        <v>700</v>
      </c>
      <c r="G10" s="108">
        <f>SUM(G11)</f>
        <v>700</v>
      </c>
      <c r="H10" s="118">
        <f t="shared" si="6"/>
        <v>700</v>
      </c>
      <c r="I10" s="159"/>
      <c r="J10" s="118">
        <f t="shared" si="8"/>
        <v>0</v>
      </c>
      <c r="K10" s="159">
        <f t="shared" si="9"/>
        <v>0</v>
      </c>
    </row>
    <row r="11" spans="1:11">
      <c r="A11" s="82" t="s">
        <v>734</v>
      </c>
      <c r="B11" s="118"/>
      <c r="C11" s="153"/>
      <c r="D11" s="118">
        <v>700</v>
      </c>
      <c r="E11" s="118"/>
      <c r="F11" s="118">
        <f t="shared" si="4"/>
        <v>700</v>
      </c>
      <c r="G11" s="118">
        <v>700</v>
      </c>
      <c r="H11" s="118">
        <f t="shared" si="6"/>
        <v>700</v>
      </c>
      <c r="I11" s="159"/>
      <c r="J11" s="118">
        <f t="shared" si="8"/>
        <v>0</v>
      </c>
      <c r="K11" s="159">
        <f t="shared" si="9"/>
        <v>0</v>
      </c>
    </row>
    <row r="12" spans="1:11">
      <c r="A12" s="82"/>
      <c r="B12" s="118"/>
      <c r="C12" s="21"/>
      <c r="D12" s="118"/>
      <c r="E12" s="118"/>
      <c r="F12" s="118">
        <f t="shared" si="4"/>
        <v>0</v>
      </c>
      <c r="G12" s="254"/>
      <c r="H12" s="118">
        <f t="shared" si="6"/>
        <v>0</v>
      </c>
      <c r="I12" s="159"/>
      <c r="J12" s="118">
        <f t="shared" si="8"/>
        <v>0</v>
      </c>
      <c r="K12" s="159" t="str">
        <f t="shared" si="9"/>
        <v/>
      </c>
    </row>
    <row r="13" spans="1:11">
      <c r="A13" s="106" t="s">
        <v>620</v>
      </c>
      <c r="B13" s="107">
        <f>B15+B19</f>
        <v>75000</v>
      </c>
      <c r="C13" s="21"/>
      <c r="D13" s="107">
        <f>D15+D19</f>
        <v>6500</v>
      </c>
      <c r="E13" s="107"/>
      <c r="F13" s="107">
        <f t="shared" si="4"/>
        <v>81500</v>
      </c>
      <c r="G13" s="134">
        <f>G15+G19</f>
        <v>68000</v>
      </c>
      <c r="H13" s="107">
        <f t="shared" si="6"/>
        <v>-7000</v>
      </c>
      <c r="I13" s="156">
        <f t="shared" si="7"/>
        <v>-9.3333333333333338E-2</v>
      </c>
      <c r="J13" s="107">
        <f t="shared" si="8"/>
        <v>-13500</v>
      </c>
      <c r="K13" s="156">
        <f t="shared" si="9"/>
        <v>-0.16564417177914109</v>
      </c>
    </row>
    <row r="14" spans="1:11">
      <c r="A14" s="106"/>
      <c r="B14" s="107"/>
      <c r="C14" s="21"/>
      <c r="D14" s="107"/>
      <c r="E14" s="107"/>
      <c r="F14" s="107">
        <f t="shared" si="4"/>
        <v>0</v>
      </c>
      <c r="G14" s="141"/>
      <c r="H14" s="107">
        <f t="shared" si="6"/>
        <v>0</v>
      </c>
      <c r="I14" s="156"/>
      <c r="J14" s="107">
        <f t="shared" si="8"/>
        <v>0</v>
      </c>
      <c r="K14" s="156" t="str">
        <f t="shared" si="9"/>
        <v/>
      </c>
    </row>
    <row r="15" spans="1:11">
      <c r="A15" s="111" t="s">
        <v>621</v>
      </c>
      <c r="B15" s="108">
        <f>B16</f>
        <v>65000</v>
      </c>
      <c r="C15" s="21"/>
      <c r="D15" s="108">
        <f>D16</f>
        <v>0</v>
      </c>
      <c r="E15" s="108"/>
      <c r="F15" s="108">
        <f t="shared" si="4"/>
        <v>65000</v>
      </c>
      <c r="G15" s="141">
        <f>G16</f>
        <v>55000</v>
      </c>
      <c r="H15" s="108">
        <f t="shared" si="6"/>
        <v>-10000</v>
      </c>
      <c r="I15" s="158">
        <f t="shared" si="7"/>
        <v>-0.15384615384615385</v>
      </c>
      <c r="J15" s="108">
        <f t="shared" si="8"/>
        <v>-10000</v>
      </c>
      <c r="K15" s="158">
        <f t="shared" si="9"/>
        <v>-0.15384615384615385</v>
      </c>
    </row>
    <row r="16" spans="1:11">
      <c r="A16" s="111" t="s">
        <v>52</v>
      </c>
      <c r="B16" s="108">
        <f>B17</f>
        <v>65000</v>
      </c>
      <c r="C16" s="21"/>
      <c r="D16" s="108"/>
      <c r="E16" s="108"/>
      <c r="F16" s="108">
        <f t="shared" si="4"/>
        <v>65000</v>
      </c>
      <c r="G16" s="141">
        <f t="shared" ref="G16" si="10">G17</f>
        <v>55000</v>
      </c>
      <c r="H16" s="108">
        <f t="shared" si="6"/>
        <v>-10000</v>
      </c>
      <c r="I16" s="158">
        <f t="shared" si="7"/>
        <v>-0.15384615384615385</v>
      </c>
      <c r="J16" s="108">
        <f t="shared" si="8"/>
        <v>-10000</v>
      </c>
      <c r="K16" s="158">
        <f t="shared" si="9"/>
        <v>-0.15384615384615385</v>
      </c>
    </row>
    <row r="17" spans="1:11" ht="26.4">
      <c r="A17" s="83" t="s">
        <v>71</v>
      </c>
      <c r="B17" s="112">
        <v>65000</v>
      </c>
      <c r="C17" s="21"/>
      <c r="D17" s="112"/>
      <c r="E17" s="112"/>
      <c r="F17" s="112">
        <f t="shared" si="4"/>
        <v>65000</v>
      </c>
      <c r="G17" s="143">
        <f>45000+10000</f>
        <v>55000</v>
      </c>
      <c r="H17" s="112">
        <f t="shared" si="6"/>
        <v>-10000</v>
      </c>
      <c r="I17" s="186">
        <f t="shared" si="7"/>
        <v>-0.15384615384615385</v>
      </c>
      <c r="J17" s="112">
        <f t="shared" si="8"/>
        <v>-10000</v>
      </c>
      <c r="K17" s="186">
        <f t="shared" si="9"/>
        <v>-0.15384615384615385</v>
      </c>
    </row>
    <row r="18" spans="1:11">
      <c r="A18" s="106"/>
      <c r="B18" s="107"/>
      <c r="C18" s="21"/>
      <c r="D18" s="107"/>
      <c r="E18" s="107"/>
      <c r="F18" s="107">
        <f t="shared" si="4"/>
        <v>0</v>
      </c>
      <c r="G18" s="141"/>
      <c r="H18" s="107">
        <f t="shared" si="6"/>
        <v>0</v>
      </c>
      <c r="I18" s="156"/>
      <c r="J18" s="107">
        <f t="shared" si="8"/>
        <v>0</v>
      </c>
      <c r="K18" s="156" t="str">
        <f t="shared" si="9"/>
        <v/>
      </c>
    </row>
    <row r="19" spans="1:11">
      <c r="A19" s="111" t="s">
        <v>622</v>
      </c>
      <c r="B19" s="108">
        <f>B20</f>
        <v>10000</v>
      </c>
      <c r="C19" s="21"/>
      <c r="D19" s="108">
        <f>D20</f>
        <v>6500</v>
      </c>
      <c r="E19" s="108"/>
      <c r="F19" s="108">
        <f t="shared" si="4"/>
        <v>16500</v>
      </c>
      <c r="G19" s="108">
        <f t="shared" ref="G19:G20" si="11">G20</f>
        <v>13000</v>
      </c>
      <c r="H19" s="108">
        <f t="shared" si="6"/>
        <v>3000</v>
      </c>
      <c r="I19" s="158">
        <f t="shared" si="7"/>
        <v>0.3</v>
      </c>
      <c r="J19" s="108">
        <f t="shared" si="8"/>
        <v>-3500</v>
      </c>
      <c r="K19" s="158">
        <f t="shared" si="9"/>
        <v>-0.21212121212121213</v>
      </c>
    </row>
    <row r="20" spans="1:11">
      <c r="A20" s="111" t="s">
        <v>53</v>
      </c>
      <c r="B20" s="108">
        <f>B21</f>
        <v>10000</v>
      </c>
      <c r="C20" s="21"/>
      <c r="D20" s="108">
        <f>D21</f>
        <v>6500</v>
      </c>
      <c r="E20" s="108"/>
      <c r="F20" s="108">
        <f t="shared" si="4"/>
        <v>16500</v>
      </c>
      <c r="G20" s="141">
        <f t="shared" si="11"/>
        <v>13000</v>
      </c>
      <c r="H20" s="108">
        <f t="shared" si="6"/>
        <v>3000</v>
      </c>
      <c r="I20" s="158">
        <f t="shared" si="7"/>
        <v>0.3</v>
      </c>
      <c r="J20" s="108">
        <f t="shared" si="8"/>
        <v>-3500</v>
      </c>
      <c r="K20" s="158">
        <f t="shared" si="9"/>
        <v>-0.21212121212121213</v>
      </c>
    </row>
    <row r="21" spans="1:11">
      <c r="A21" s="82" t="s">
        <v>72</v>
      </c>
      <c r="B21" s="118">
        <v>10000</v>
      </c>
      <c r="C21" s="21"/>
      <c r="D21" s="118">
        <v>6500</v>
      </c>
      <c r="E21" s="118"/>
      <c r="F21" s="118">
        <f t="shared" si="4"/>
        <v>16500</v>
      </c>
      <c r="G21" s="143">
        <f>10000+3000</f>
        <v>13000</v>
      </c>
      <c r="H21" s="118">
        <f t="shared" si="6"/>
        <v>3000</v>
      </c>
      <c r="I21" s="159">
        <f t="shared" si="7"/>
        <v>0.3</v>
      </c>
      <c r="J21" s="118">
        <f t="shared" si="8"/>
        <v>-3500</v>
      </c>
      <c r="K21" s="159">
        <f t="shared" si="9"/>
        <v>-0.21212121212121213</v>
      </c>
    </row>
    <row r="22" spans="1:11">
      <c r="A22" s="111"/>
      <c r="B22" s="108"/>
      <c r="C22" s="21"/>
      <c r="D22" s="108"/>
      <c r="E22" s="108"/>
      <c r="F22" s="108">
        <f t="shared" si="4"/>
        <v>0</v>
      </c>
      <c r="G22" s="254"/>
      <c r="H22" s="108">
        <f t="shared" si="6"/>
        <v>0</v>
      </c>
      <c r="I22" s="158"/>
      <c r="J22" s="108">
        <f t="shared" si="8"/>
        <v>0</v>
      </c>
      <c r="K22" s="158" t="str">
        <f t="shared" si="9"/>
        <v/>
      </c>
    </row>
    <row r="23" spans="1:11">
      <c r="A23" s="106" t="s">
        <v>623</v>
      </c>
      <c r="B23" s="107">
        <f>B25+B38+B45</f>
        <v>5888879</v>
      </c>
      <c r="C23" s="107">
        <f>C25+C38+C45</f>
        <v>0</v>
      </c>
      <c r="D23" s="107">
        <f>D25+D38+D45</f>
        <v>37000</v>
      </c>
      <c r="E23" s="107">
        <f>E25+E38+E45</f>
        <v>416508</v>
      </c>
      <c r="F23" s="107">
        <f t="shared" si="4"/>
        <v>6342387</v>
      </c>
      <c r="G23" s="107">
        <f>G25+G38+G45</f>
        <v>4852601</v>
      </c>
      <c r="H23" s="107">
        <f t="shared" si="6"/>
        <v>-1036278</v>
      </c>
      <c r="I23" s="156">
        <f t="shared" si="7"/>
        <v>-0.17597203134926018</v>
      </c>
      <c r="J23" s="107">
        <f t="shared" si="8"/>
        <v>-1489786</v>
      </c>
      <c r="K23" s="156">
        <f t="shared" si="9"/>
        <v>-0.23489358186436746</v>
      </c>
    </row>
    <row r="24" spans="1:11">
      <c r="A24" s="106"/>
      <c r="B24" s="107"/>
      <c r="C24" s="107"/>
      <c r="D24" s="107"/>
      <c r="E24" s="107"/>
      <c r="F24" s="107">
        <f t="shared" si="4"/>
        <v>0</v>
      </c>
      <c r="G24" s="254"/>
      <c r="H24" s="107">
        <f t="shared" si="6"/>
        <v>0</v>
      </c>
      <c r="I24" s="156"/>
      <c r="J24" s="107">
        <f t="shared" si="8"/>
        <v>0</v>
      </c>
      <c r="K24" s="156" t="str">
        <f t="shared" si="9"/>
        <v/>
      </c>
    </row>
    <row r="25" spans="1:11">
      <c r="A25" s="111" t="s">
        <v>624</v>
      </c>
      <c r="B25" s="108">
        <f>B26+B33+B35</f>
        <v>388838</v>
      </c>
      <c r="C25" s="108">
        <f>C26+C33+C35</f>
        <v>0</v>
      </c>
      <c r="D25" s="108">
        <f>D26+D33+D35</f>
        <v>25000</v>
      </c>
      <c r="E25" s="108">
        <f>E26+E33+E35+E31</f>
        <v>220308</v>
      </c>
      <c r="F25" s="108">
        <f t="shared" si="4"/>
        <v>634146</v>
      </c>
      <c r="G25" s="108">
        <f>G26+G33+G35</f>
        <v>457421</v>
      </c>
      <c r="H25" s="108">
        <f t="shared" si="6"/>
        <v>68583</v>
      </c>
      <c r="I25" s="158">
        <f t="shared" si="7"/>
        <v>0.17637936621420747</v>
      </c>
      <c r="J25" s="108">
        <f t="shared" si="8"/>
        <v>-176725</v>
      </c>
      <c r="K25" s="158">
        <f t="shared" si="9"/>
        <v>-0.27868188082870504</v>
      </c>
    </row>
    <row r="26" spans="1:11">
      <c r="A26" s="111" t="s">
        <v>52</v>
      </c>
      <c r="B26" s="108">
        <f>B27+B28+B29+B30</f>
        <v>365338</v>
      </c>
      <c r="C26" s="21"/>
      <c r="D26" s="108"/>
      <c r="E26" s="108">
        <f>E27+E28+E29+E30</f>
        <v>216008</v>
      </c>
      <c r="F26" s="108">
        <f t="shared" si="4"/>
        <v>581346</v>
      </c>
      <c r="G26" s="108">
        <f>G27+G28+G29+G30</f>
        <v>423921</v>
      </c>
      <c r="H26" s="108">
        <f t="shared" si="6"/>
        <v>58583</v>
      </c>
      <c r="I26" s="158">
        <f t="shared" si="7"/>
        <v>0.16035287870410414</v>
      </c>
      <c r="J26" s="108">
        <f t="shared" si="8"/>
        <v>-157425</v>
      </c>
      <c r="K26" s="158">
        <f t="shared" si="9"/>
        <v>-0.27079398499344626</v>
      </c>
    </row>
    <row r="27" spans="1:11">
      <c r="A27" s="82" t="s">
        <v>92</v>
      </c>
      <c r="B27" s="118">
        <v>112718</v>
      </c>
      <c r="C27" s="21"/>
      <c r="D27" s="118"/>
      <c r="E27" s="118">
        <v>-9205</v>
      </c>
      <c r="F27" s="118">
        <f t="shared" si="4"/>
        <v>103513</v>
      </c>
      <c r="G27" s="518">
        <v>7041</v>
      </c>
      <c r="H27" s="118">
        <f t="shared" si="6"/>
        <v>-105677</v>
      </c>
      <c r="I27" s="159">
        <f t="shared" si="7"/>
        <v>-0.93753437782785354</v>
      </c>
      <c r="J27" s="118">
        <f t="shared" si="8"/>
        <v>-96472</v>
      </c>
      <c r="K27" s="159">
        <f t="shared" si="9"/>
        <v>-0.93197955812313427</v>
      </c>
    </row>
    <row r="28" spans="1:11">
      <c r="A28" s="82" t="s">
        <v>81</v>
      </c>
      <c r="B28" s="118">
        <v>114000</v>
      </c>
      <c r="C28" s="21"/>
      <c r="D28" s="118"/>
      <c r="E28" s="118">
        <v>228000</v>
      </c>
      <c r="F28" s="118">
        <f t="shared" si="4"/>
        <v>342000</v>
      </c>
      <c r="G28" s="143">
        <v>245000</v>
      </c>
      <c r="H28" s="118">
        <f t="shared" si="6"/>
        <v>131000</v>
      </c>
      <c r="I28" s="159">
        <f t="shared" si="7"/>
        <v>1.1491228070175439</v>
      </c>
      <c r="J28" s="118">
        <f t="shared" si="8"/>
        <v>-97000</v>
      </c>
      <c r="K28" s="159">
        <f t="shared" si="9"/>
        <v>-0.28362573099415206</v>
      </c>
    </row>
    <row r="29" spans="1:11">
      <c r="A29" s="82" t="s">
        <v>72</v>
      </c>
      <c r="B29" s="118">
        <v>36000</v>
      </c>
      <c r="C29" s="21"/>
      <c r="D29" s="118"/>
      <c r="E29" s="118">
        <v>-2787</v>
      </c>
      <c r="F29" s="118">
        <f t="shared" si="4"/>
        <v>33213</v>
      </c>
      <c r="G29" s="143">
        <v>63100</v>
      </c>
      <c r="H29" s="118">
        <f t="shared" si="6"/>
        <v>27100</v>
      </c>
      <c r="I29" s="159">
        <f t="shared" si="7"/>
        <v>0.75277777777777777</v>
      </c>
      <c r="J29" s="118">
        <f t="shared" si="8"/>
        <v>29887</v>
      </c>
      <c r="K29" s="159">
        <f t="shared" si="9"/>
        <v>0.89985848914581634</v>
      </c>
    </row>
    <row r="30" spans="1:11">
      <c r="A30" s="83" t="s">
        <v>179</v>
      </c>
      <c r="B30" s="112">
        <v>102620</v>
      </c>
      <c r="C30" s="21"/>
      <c r="D30" s="112"/>
      <c r="E30" s="112"/>
      <c r="F30" s="112">
        <f t="shared" si="4"/>
        <v>102620</v>
      </c>
      <c r="G30" s="143">
        <v>108780</v>
      </c>
      <c r="H30" s="112">
        <f t="shared" si="6"/>
        <v>6160</v>
      </c>
      <c r="I30" s="186">
        <f t="shared" si="7"/>
        <v>6.0027285129604369E-2</v>
      </c>
      <c r="J30" s="112">
        <f t="shared" si="8"/>
        <v>6160</v>
      </c>
      <c r="K30" s="186">
        <f t="shared" si="9"/>
        <v>6.0027285129604369E-2</v>
      </c>
    </row>
    <row r="31" spans="1:11">
      <c r="A31" s="111" t="s">
        <v>53</v>
      </c>
      <c r="B31" s="250"/>
      <c r="C31" s="21"/>
      <c r="D31" s="112"/>
      <c r="E31" s="610">
        <f>E32</f>
        <v>2100</v>
      </c>
      <c r="F31" s="610">
        <f t="shared" si="4"/>
        <v>2100</v>
      </c>
      <c r="G31" s="249"/>
      <c r="H31" s="114">
        <f t="shared" si="6"/>
        <v>0</v>
      </c>
      <c r="I31" s="190"/>
      <c r="J31" s="610">
        <f t="shared" si="8"/>
        <v>-2100</v>
      </c>
      <c r="K31" s="190" t="str">
        <f t="shared" si="9"/>
        <v/>
      </c>
    </row>
    <row r="32" spans="1:11">
      <c r="A32" s="82" t="s">
        <v>1159</v>
      </c>
      <c r="B32" s="250"/>
      <c r="C32" s="21"/>
      <c r="D32" s="112"/>
      <c r="E32" s="118">
        <v>2100</v>
      </c>
      <c r="F32" s="118">
        <f t="shared" si="4"/>
        <v>2100</v>
      </c>
      <c r="G32" s="118"/>
      <c r="H32" s="118">
        <f t="shared" si="6"/>
        <v>0</v>
      </c>
      <c r="I32" s="118"/>
      <c r="J32" s="118">
        <f t="shared" si="8"/>
        <v>-2100</v>
      </c>
      <c r="K32" s="118" t="str">
        <f t="shared" si="9"/>
        <v/>
      </c>
    </row>
    <row r="33" spans="1:11">
      <c r="A33" s="111" t="s">
        <v>67</v>
      </c>
      <c r="B33" s="108">
        <f>B34</f>
        <v>3500</v>
      </c>
      <c r="C33" s="21"/>
      <c r="D33" s="108"/>
      <c r="E33" s="108">
        <f>E34</f>
        <v>2200</v>
      </c>
      <c r="F33" s="108">
        <f t="shared" si="4"/>
        <v>5700</v>
      </c>
      <c r="G33" s="108">
        <f>G34</f>
        <v>3500</v>
      </c>
      <c r="H33" s="108">
        <f t="shared" si="6"/>
        <v>0</v>
      </c>
      <c r="I33" s="158">
        <f t="shared" si="7"/>
        <v>0</v>
      </c>
      <c r="J33" s="108">
        <f t="shared" si="8"/>
        <v>-2200</v>
      </c>
      <c r="K33" s="158">
        <f t="shared" si="9"/>
        <v>-0.38596491228070173</v>
      </c>
    </row>
    <row r="34" spans="1:11">
      <c r="A34" s="82" t="s">
        <v>411</v>
      </c>
      <c r="B34" s="118">
        <v>3500</v>
      </c>
      <c r="C34" s="21"/>
      <c r="D34" s="118"/>
      <c r="E34" s="118">
        <v>2200</v>
      </c>
      <c r="F34" s="118">
        <f t="shared" si="4"/>
        <v>5700</v>
      </c>
      <c r="G34" s="143">
        <v>3500</v>
      </c>
      <c r="H34" s="118">
        <f t="shared" si="6"/>
        <v>0</v>
      </c>
      <c r="I34" s="159">
        <f t="shared" si="7"/>
        <v>0</v>
      </c>
      <c r="J34" s="118">
        <f t="shared" si="8"/>
        <v>-2200</v>
      </c>
      <c r="K34" s="159">
        <f t="shared" si="9"/>
        <v>-0.38596491228070173</v>
      </c>
    </row>
    <row r="35" spans="1:11">
      <c r="A35" s="111" t="s">
        <v>51</v>
      </c>
      <c r="B35" s="108">
        <f>B36</f>
        <v>20000</v>
      </c>
      <c r="C35" s="108">
        <f t="shared" ref="C35:D35" si="12">C36</f>
        <v>0</v>
      </c>
      <c r="D35" s="108">
        <f t="shared" si="12"/>
        <v>25000</v>
      </c>
      <c r="E35" s="108"/>
      <c r="F35" s="108">
        <f t="shared" si="4"/>
        <v>45000</v>
      </c>
      <c r="G35" s="108">
        <f>G36</f>
        <v>30000</v>
      </c>
      <c r="H35" s="108">
        <f t="shared" si="6"/>
        <v>10000</v>
      </c>
      <c r="I35" s="158">
        <f t="shared" si="7"/>
        <v>0.5</v>
      </c>
      <c r="J35" s="108">
        <f t="shared" si="8"/>
        <v>-15000</v>
      </c>
      <c r="K35" s="158">
        <f t="shared" si="9"/>
        <v>-0.33333333333333331</v>
      </c>
    </row>
    <row r="36" spans="1:11">
      <c r="A36" s="82" t="s">
        <v>70</v>
      </c>
      <c r="B36" s="118">
        <v>20000</v>
      </c>
      <c r="C36" s="21"/>
      <c r="D36" s="118">
        <v>25000</v>
      </c>
      <c r="E36" s="118"/>
      <c r="F36" s="118">
        <f t="shared" si="4"/>
        <v>45000</v>
      </c>
      <c r="G36" s="143">
        <v>30000</v>
      </c>
      <c r="H36" s="118">
        <f t="shared" si="6"/>
        <v>10000</v>
      </c>
      <c r="I36" s="159">
        <f t="shared" si="7"/>
        <v>0.5</v>
      </c>
      <c r="J36" s="118">
        <f t="shared" si="8"/>
        <v>-15000</v>
      </c>
      <c r="K36" s="159">
        <f t="shared" si="9"/>
        <v>-0.33333333333333331</v>
      </c>
    </row>
    <row r="37" spans="1:11">
      <c r="A37" s="82"/>
      <c r="B37" s="118"/>
      <c r="C37" s="21"/>
      <c r="D37" s="118"/>
      <c r="E37" s="118"/>
      <c r="F37" s="118">
        <f t="shared" si="4"/>
        <v>0</v>
      </c>
      <c r="G37" s="254"/>
      <c r="H37" s="118">
        <f t="shared" si="6"/>
        <v>0</v>
      </c>
      <c r="I37" s="159"/>
      <c r="J37" s="118">
        <f t="shared" si="8"/>
        <v>0</v>
      </c>
      <c r="K37" s="159" t="str">
        <f t="shared" si="9"/>
        <v/>
      </c>
    </row>
    <row r="38" spans="1:11" s="28" customFormat="1">
      <c r="A38" s="119" t="s">
        <v>625</v>
      </c>
      <c r="B38" s="120">
        <f>B39+B42</f>
        <v>1153700</v>
      </c>
      <c r="C38" s="120">
        <f>C39+C42</f>
        <v>0</v>
      </c>
      <c r="D38" s="120">
        <f>D39+D42</f>
        <v>49000</v>
      </c>
      <c r="E38" s="120">
        <f>E39+E42</f>
        <v>86200</v>
      </c>
      <c r="F38" s="120">
        <f t="shared" si="4"/>
        <v>1288900</v>
      </c>
      <c r="G38" s="120">
        <f>G39+G42</f>
        <v>1519300</v>
      </c>
      <c r="H38" s="120">
        <f t="shared" si="6"/>
        <v>365600</v>
      </c>
      <c r="I38" s="187">
        <f t="shared" si="7"/>
        <v>0.3168934731732686</v>
      </c>
      <c r="J38" s="120">
        <f t="shared" si="8"/>
        <v>230400</v>
      </c>
      <c r="K38" s="187">
        <f t="shared" si="9"/>
        <v>0.1787570796803476</v>
      </c>
    </row>
    <row r="39" spans="1:11">
      <c r="A39" s="111" t="s">
        <v>51</v>
      </c>
      <c r="B39" s="108">
        <f>B40+B41</f>
        <v>837100</v>
      </c>
      <c r="C39" s="108">
        <f>C40+C41</f>
        <v>0</v>
      </c>
      <c r="D39" s="108">
        <f>D40+D41</f>
        <v>49000</v>
      </c>
      <c r="E39" s="108">
        <f>E40+E41</f>
        <v>86200</v>
      </c>
      <c r="F39" s="108">
        <f t="shared" si="4"/>
        <v>972300</v>
      </c>
      <c r="G39" s="108">
        <f>G40+G41</f>
        <v>1202700</v>
      </c>
      <c r="H39" s="108">
        <f t="shared" si="6"/>
        <v>365600</v>
      </c>
      <c r="I39" s="158">
        <f t="shared" si="7"/>
        <v>0.43674590849360889</v>
      </c>
      <c r="J39" s="108">
        <f t="shared" si="8"/>
        <v>230400</v>
      </c>
      <c r="K39" s="158">
        <f t="shared" si="9"/>
        <v>0.23696390003085469</v>
      </c>
    </row>
    <row r="40" spans="1:11">
      <c r="A40" s="82" t="s">
        <v>69</v>
      </c>
      <c r="B40" s="118">
        <v>719900</v>
      </c>
      <c r="C40" s="21"/>
      <c r="D40" s="118"/>
      <c r="E40" s="118"/>
      <c r="F40" s="118">
        <f t="shared" si="4"/>
        <v>719900</v>
      </c>
      <c r="G40" s="118">
        <v>935300</v>
      </c>
      <c r="H40" s="118">
        <f t="shared" si="6"/>
        <v>215400</v>
      </c>
      <c r="I40" s="159">
        <f t="shared" si="7"/>
        <v>0.29920822336435615</v>
      </c>
      <c r="J40" s="118">
        <f t="shared" si="8"/>
        <v>215400</v>
      </c>
      <c r="K40" s="159">
        <f t="shared" si="9"/>
        <v>0.29920822336435615</v>
      </c>
    </row>
    <row r="41" spans="1:11" s="21" customFormat="1">
      <c r="A41" s="82" t="s">
        <v>70</v>
      </c>
      <c r="B41" s="118">
        <v>117200</v>
      </c>
      <c r="D41" s="118">
        <v>49000</v>
      </c>
      <c r="E41" s="118">
        <v>86200</v>
      </c>
      <c r="F41" s="118">
        <f t="shared" si="4"/>
        <v>252400</v>
      </c>
      <c r="G41" s="118">
        <v>267400</v>
      </c>
      <c r="H41" s="118">
        <f t="shared" si="6"/>
        <v>150200</v>
      </c>
      <c r="I41" s="159">
        <f t="shared" si="7"/>
        <v>1.2815699658703072</v>
      </c>
      <c r="J41" s="118">
        <f t="shared" si="8"/>
        <v>15000</v>
      </c>
      <c r="K41" s="159">
        <f t="shared" si="9"/>
        <v>5.9429477020602216E-2</v>
      </c>
    </row>
    <row r="42" spans="1:11" s="21" customFormat="1">
      <c r="A42" s="119" t="s">
        <v>58</v>
      </c>
      <c r="B42" s="120">
        <f>B43</f>
        <v>316600</v>
      </c>
      <c r="D42" s="120"/>
      <c r="E42" s="120"/>
      <c r="F42" s="120">
        <f t="shared" si="4"/>
        <v>316600</v>
      </c>
      <c r="G42" s="120">
        <f>G43</f>
        <v>316600</v>
      </c>
      <c r="H42" s="120">
        <f t="shared" si="6"/>
        <v>0</v>
      </c>
      <c r="I42" s="187">
        <f t="shared" si="7"/>
        <v>0</v>
      </c>
      <c r="J42" s="120">
        <f t="shared" si="8"/>
        <v>0</v>
      </c>
      <c r="K42" s="187">
        <f t="shared" si="9"/>
        <v>0</v>
      </c>
    </row>
    <row r="43" spans="1:11" s="21" customFormat="1">
      <c r="A43" s="83" t="s">
        <v>93</v>
      </c>
      <c r="B43" s="112">
        <v>316600</v>
      </c>
      <c r="D43" s="112"/>
      <c r="E43" s="112"/>
      <c r="F43" s="112">
        <f t="shared" si="4"/>
        <v>316600</v>
      </c>
      <c r="G43" s="143">
        <v>316600</v>
      </c>
      <c r="H43" s="112">
        <f t="shared" si="6"/>
        <v>0</v>
      </c>
      <c r="I43" s="186">
        <f t="shared" si="7"/>
        <v>0</v>
      </c>
      <c r="J43" s="112">
        <f t="shared" si="8"/>
        <v>0</v>
      </c>
      <c r="K43" s="186">
        <f t="shared" si="9"/>
        <v>0</v>
      </c>
    </row>
    <row r="44" spans="1:11" s="21" customFormat="1">
      <c r="A44" s="83"/>
      <c r="B44" s="112"/>
      <c r="D44" s="112"/>
      <c r="E44" s="112"/>
      <c r="F44" s="112">
        <f t="shared" si="4"/>
        <v>0</v>
      </c>
      <c r="G44" s="254"/>
      <c r="H44" s="112">
        <f t="shared" si="6"/>
        <v>0</v>
      </c>
      <c r="I44" s="186"/>
      <c r="J44" s="112">
        <f t="shared" si="8"/>
        <v>0</v>
      </c>
      <c r="K44" s="186" t="str">
        <f t="shared" si="9"/>
        <v/>
      </c>
    </row>
    <row r="45" spans="1:11" s="21" customFormat="1">
      <c r="A45" s="111" t="s">
        <v>626</v>
      </c>
      <c r="B45" s="108">
        <f>B46</f>
        <v>4346341</v>
      </c>
      <c r="C45" s="108">
        <f t="shared" ref="C45:E45" si="13">C46</f>
        <v>0</v>
      </c>
      <c r="D45" s="108">
        <f t="shared" si="13"/>
        <v>-37000</v>
      </c>
      <c r="E45" s="108">
        <f t="shared" si="13"/>
        <v>110000</v>
      </c>
      <c r="F45" s="108">
        <f t="shared" si="4"/>
        <v>4419341</v>
      </c>
      <c r="G45" s="108">
        <f>G46</f>
        <v>2875880</v>
      </c>
      <c r="H45" s="108">
        <f t="shared" si="6"/>
        <v>-1470461</v>
      </c>
      <c r="I45" s="158">
        <f t="shared" si="7"/>
        <v>-0.33832159050566901</v>
      </c>
      <c r="J45" s="108">
        <f t="shared" si="8"/>
        <v>-1543461</v>
      </c>
      <c r="K45" s="158">
        <f t="shared" si="9"/>
        <v>-0.34925139291129603</v>
      </c>
    </row>
    <row r="46" spans="1:11" s="21" customFormat="1">
      <c r="A46" s="111" t="s">
        <v>64</v>
      </c>
      <c r="B46" s="108">
        <f>B47+B48</f>
        <v>4346341</v>
      </c>
      <c r="C46" s="108">
        <f t="shared" ref="C46:E46" si="14">C47+C48</f>
        <v>0</v>
      </c>
      <c r="D46" s="108">
        <f t="shared" si="14"/>
        <v>-37000</v>
      </c>
      <c r="E46" s="108">
        <f t="shared" si="14"/>
        <v>110000</v>
      </c>
      <c r="F46" s="108">
        <f t="shared" si="4"/>
        <v>4419341</v>
      </c>
      <c r="G46" s="108">
        <f>G47+G48</f>
        <v>2875880</v>
      </c>
      <c r="H46" s="108">
        <f t="shared" si="6"/>
        <v>-1470461</v>
      </c>
      <c r="I46" s="158">
        <f t="shared" si="7"/>
        <v>-0.33832159050566901</v>
      </c>
      <c r="J46" s="108">
        <f t="shared" si="8"/>
        <v>-1543461</v>
      </c>
      <c r="K46" s="158">
        <f t="shared" si="9"/>
        <v>-0.34925139291129603</v>
      </c>
    </row>
    <row r="47" spans="1:11" s="21" customFormat="1">
      <c r="A47" s="82" t="s">
        <v>256</v>
      </c>
      <c r="B47" s="118">
        <v>3300000</v>
      </c>
      <c r="D47" s="118"/>
      <c r="E47" s="118">
        <v>220000</v>
      </c>
      <c r="F47" s="118">
        <f t="shared" si="4"/>
        <v>3520000</v>
      </c>
      <c r="G47" s="143">
        <f>1470000+247000</f>
        <v>1717000</v>
      </c>
      <c r="H47" s="118">
        <f t="shared" si="6"/>
        <v>-1583000</v>
      </c>
      <c r="I47" s="159">
        <f t="shared" si="7"/>
        <v>-0.47969696969696968</v>
      </c>
      <c r="J47" s="118">
        <f t="shared" si="8"/>
        <v>-1803000</v>
      </c>
      <c r="K47" s="159">
        <f t="shared" si="9"/>
        <v>-0.51221590909090908</v>
      </c>
    </row>
    <row r="48" spans="1:11" s="21" customFormat="1">
      <c r="A48" s="82" t="s">
        <v>250</v>
      </c>
      <c r="B48" s="118">
        <v>1046341</v>
      </c>
      <c r="D48" s="118">
        <v>-37000</v>
      </c>
      <c r="E48" s="118">
        <v>-110000</v>
      </c>
      <c r="F48" s="118">
        <f t="shared" si="4"/>
        <v>899341</v>
      </c>
      <c r="G48" s="143">
        <f>1188380-29500</f>
        <v>1158880</v>
      </c>
      <c r="H48" s="118">
        <f t="shared" si="6"/>
        <v>112539</v>
      </c>
      <c r="I48" s="159">
        <f t="shared" si="7"/>
        <v>0.10755480287974953</v>
      </c>
      <c r="J48" s="118">
        <f t="shared" si="8"/>
        <v>259539</v>
      </c>
      <c r="K48" s="159">
        <f t="shared" si="9"/>
        <v>0.2885879771966362</v>
      </c>
    </row>
    <row r="49" spans="1:11" s="21" customFormat="1">
      <c r="A49" s="82"/>
      <c r="B49" s="118"/>
      <c r="D49" s="118"/>
      <c r="E49" s="118"/>
      <c r="F49" s="118">
        <f t="shared" si="4"/>
        <v>0</v>
      </c>
      <c r="H49" s="118">
        <f t="shared" si="6"/>
        <v>0</v>
      </c>
      <c r="I49" s="159"/>
      <c r="J49" s="118">
        <f t="shared" si="8"/>
        <v>0</v>
      </c>
      <c r="K49" s="159" t="str">
        <f t="shared" si="9"/>
        <v/>
      </c>
    </row>
    <row r="50" spans="1:11" s="21" customFormat="1">
      <c r="A50" s="106" t="s">
        <v>73</v>
      </c>
      <c r="B50" s="107">
        <f>B51</f>
        <v>265541</v>
      </c>
      <c r="D50" s="107"/>
      <c r="E50" s="107">
        <f>E51</f>
        <v>-30000</v>
      </c>
      <c r="F50" s="107">
        <f t="shared" si="4"/>
        <v>235541</v>
      </c>
      <c r="G50" s="107">
        <f>G51</f>
        <v>265541</v>
      </c>
      <c r="H50" s="107">
        <f t="shared" si="6"/>
        <v>0</v>
      </c>
      <c r="I50" s="156">
        <f t="shared" si="7"/>
        <v>0</v>
      </c>
      <c r="J50" s="107">
        <f t="shared" si="8"/>
        <v>30000</v>
      </c>
      <c r="K50" s="156">
        <f t="shared" si="9"/>
        <v>0.12736636084588246</v>
      </c>
    </row>
    <row r="51" spans="1:11" s="21" customFormat="1">
      <c r="A51" s="111" t="s">
        <v>53</v>
      </c>
      <c r="B51" s="108">
        <f>B52+B53</f>
        <v>265541</v>
      </c>
      <c r="D51" s="108"/>
      <c r="E51" s="108">
        <f>E52</f>
        <v>-30000</v>
      </c>
      <c r="F51" s="108">
        <f t="shared" si="4"/>
        <v>235541</v>
      </c>
      <c r="G51" s="108">
        <f t="shared" ref="G51" si="15">G52+G53</f>
        <v>265541</v>
      </c>
      <c r="H51" s="108">
        <f t="shared" si="6"/>
        <v>0</v>
      </c>
      <c r="I51" s="158">
        <f t="shared" si="7"/>
        <v>0</v>
      </c>
      <c r="J51" s="108">
        <f t="shared" si="8"/>
        <v>30000</v>
      </c>
      <c r="K51" s="158">
        <f t="shared" si="9"/>
        <v>0.12736636084588246</v>
      </c>
    </row>
    <row r="52" spans="1:11" s="21" customFormat="1">
      <c r="A52" s="82" t="s">
        <v>72</v>
      </c>
      <c r="B52" s="118">
        <v>255541</v>
      </c>
      <c r="D52" s="118"/>
      <c r="E52" s="118">
        <v>-30000</v>
      </c>
      <c r="F52" s="118">
        <f t="shared" si="4"/>
        <v>225541</v>
      </c>
      <c r="G52" s="498">
        <v>255541</v>
      </c>
      <c r="H52" s="118">
        <f t="shared" si="6"/>
        <v>0</v>
      </c>
      <c r="I52" s="159">
        <f t="shared" si="7"/>
        <v>0</v>
      </c>
      <c r="J52" s="118">
        <f t="shared" si="8"/>
        <v>30000</v>
      </c>
      <c r="K52" s="159">
        <f t="shared" si="9"/>
        <v>0.1330135097388058</v>
      </c>
    </row>
    <row r="53" spans="1:11" s="21" customFormat="1">
      <c r="A53" s="82" t="s">
        <v>181</v>
      </c>
      <c r="B53" s="118">
        <v>10000</v>
      </c>
      <c r="D53" s="118"/>
      <c r="E53" s="118"/>
      <c r="F53" s="118">
        <f t="shared" si="4"/>
        <v>10000</v>
      </c>
      <c r="G53" s="498">
        <v>10000</v>
      </c>
      <c r="H53" s="118">
        <f t="shared" si="6"/>
        <v>0</v>
      </c>
      <c r="I53" s="159">
        <f t="shared" si="7"/>
        <v>0</v>
      </c>
      <c r="J53" s="118">
        <f t="shared" si="8"/>
        <v>0</v>
      </c>
      <c r="K53" s="159">
        <f t="shared" si="9"/>
        <v>0</v>
      </c>
    </row>
    <row r="54" spans="1:11" s="21" customFormat="1">
      <c r="A54" s="82"/>
      <c r="B54" s="118"/>
      <c r="D54" s="118"/>
      <c r="E54" s="118"/>
      <c r="F54" s="118">
        <f t="shared" si="4"/>
        <v>0</v>
      </c>
      <c r="G54" s="254"/>
      <c r="H54" s="118">
        <f t="shared" si="6"/>
        <v>0</v>
      </c>
      <c r="I54" s="159"/>
      <c r="J54" s="118">
        <f t="shared" si="8"/>
        <v>0</v>
      </c>
      <c r="K54" s="159" t="str">
        <f t="shared" si="9"/>
        <v/>
      </c>
    </row>
    <row r="55" spans="1:11" s="21" customFormat="1">
      <c r="A55" s="106" t="s">
        <v>74</v>
      </c>
      <c r="B55" s="107">
        <f>B57+B68+B81+B98+B106+B119</f>
        <v>28946290</v>
      </c>
      <c r="C55" s="107">
        <f>C57+C68+C81+C98+C106+C119</f>
        <v>0</v>
      </c>
      <c r="D55" s="107">
        <f>D57+D68+D81+D98+D106+D119</f>
        <v>333010</v>
      </c>
      <c r="E55" s="107">
        <f>E57+E68+E81+E98+E106+E119</f>
        <v>461220</v>
      </c>
      <c r="F55" s="107">
        <f t="shared" si="4"/>
        <v>29740520</v>
      </c>
      <c r="G55" s="107">
        <f>G57+G68+G81+G98+G106+G119</f>
        <v>30294810</v>
      </c>
      <c r="H55" s="107">
        <f t="shared" si="6"/>
        <v>1348520</v>
      </c>
      <c r="I55" s="156">
        <f t="shared" si="7"/>
        <v>4.6586971940100093E-2</v>
      </c>
      <c r="J55" s="107">
        <f t="shared" si="8"/>
        <v>554290</v>
      </c>
      <c r="K55" s="156">
        <f t="shared" si="9"/>
        <v>1.8637535591173253E-2</v>
      </c>
    </row>
    <row r="56" spans="1:11" s="21" customFormat="1">
      <c r="A56" s="109"/>
      <c r="B56" s="110"/>
      <c r="C56" s="110"/>
      <c r="D56" s="110"/>
      <c r="E56" s="256"/>
      <c r="F56" s="110">
        <f t="shared" si="4"/>
        <v>0</v>
      </c>
      <c r="G56" s="256"/>
      <c r="H56" s="110">
        <f t="shared" si="6"/>
        <v>0</v>
      </c>
      <c r="I56" s="188"/>
      <c r="J56" s="110">
        <f t="shared" si="8"/>
        <v>0</v>
      </c>
      <c r="K56" s="188" t="str">
        <f t="shared" si="9"/>
        <v/>
      </c>
    </row>
    <row r="57" spans="1:11" s="21" customFormat="1">
      <c r="A57" s="111" t="s">
        <v>185</v>
      </c>
      <c r="B57" s="108">
        <f>B58+B64+B61</f>
        <v>6231320</v>
      </c>
      <c r="C57" s="108">
        <f>C58+C64+C61</f>
        <v>0</v>
      </c>
      <c r="D57" s="108">
        <f>D58+D64+D61</f>
        <v>557910</v>
      </c>
      <c r="E57" s="108">
        <f>E58+E64+E61</f>
        <v>76200</v>
      </c>
      <c r="F57" s="108">
        <f t="shared" si="4"/>
        <v>6865430</v>
      </c>
      <c r="G57" s="108">
        <f>G58+G64+G61</f>
        <v>7163950</v>
      </c>
      <c r="H57" s="108">
        <f t="shared" si="6"/>
        <v>932630</v>
      </c>
      <c r="I57" s="158">
        <f t="shared" si="7"/>
        <v>0.14966812810126906</v>
      </c>
      <c r="J57" s="108">
        <f t="shared" si="8"/>
        <v>298520</v>
      </c>
      <c r="K57" s="158">
        <f t="shared" si="9"/>
        <v>4.3481617320400907E-2</v>
      </c>
    </row>
    <row r="58" spans="1:11" s="21" customFormat="1">
      <c r="A58" s="111" t="s">
        <v>54</v>
      </c>
      <c r="B58" s="108">
        <f>B59+B60</f>
        <v>6058800</v>
      </c>
      <c r="C58" s="108">
        <f>C59+C60</f>
        <v>0</v>
      </c>
      <c r="D58" s="108">
        <f>D59+D60</f>
        <v>538300</v>
      </c>
      <c r="E58" s="108">
        <f>E59+E60</f>
        <v>4000</v>
      </c>
      <c r="F58" s="108">
        <f t="shared" si="4"/>
        <v>6601100</v>
      </c>
      <c r="G58" s="108">
        <f>G59+G60</f>
        <v>6976850</v>
      </c>
      <c r="H58" s="108">
        <f t="shared" si="6"/>
        <v>918050</v>
      </c>
      <c r="I58" s="158">
        <f t="shared" si="7"/>
        <v>0.15152340397438438</v>
      </c>
      <c r="J58" s="108">
        <f t="shared" si="8"/>
        <v>375750</v>
      </c>
      <c r="K58" s="158">
        <f t="shared" si="9"/>
        <v>5.6922331126630407E-2</v>
      </c>
    </row>
    <row r="59" spans="1:11" s="21" customFormat="1" ht="26.4">
      <c r="A59" s="83" t="s">
        <v>186</v>
      </c>
      <c r="B59" s="112">
        <v>5497000</v>
      </c>
      <c r="D59" s="112">
        <v>478300</v>
      </c>
      <c r="E59" s="112"/>
      <c r="F59" s="112">
        <f t="shared" si="4"/>
        <v>5975300</v>
      </c>
      <c r="G59" s="112">
        <v>6329700</v>
      </c>
      <c r="H59" s="112">
        <f t="shared" si="6"/>
        <v>832700</v>
      </c>
      <c r="I59" s="186">
        <f t="shared" si="7"/>
        <v>0.15148262688739311</v>
      </c>
      <c r="J59" s="112">
        <f t="shared" si="8"/>
        <v>354400</v>
      </c>
      <c r="K59" s="186">
        <f t="shared" si="9"/>
        <v>5.9310829581778322E-2</v>
      </c>
    </row>
    <row r="60" spans="1:11" s="21" customFormat="1" ht="26.4">
      <c r="A60" s="83" t="s">
        <v>187</v>
      </c>
      <c r="B60" s="112">
        <v>561800</v>
      </c>
      <c r="D60" s="112">
        <v>60000</v>
      </c>
      <c r="E60" s="112">
        <v>4000</v>
      </c>
      <c r="F60" s="112">
        <f t="shared" si="4"/>
        <v>625800</v>
      </c>
      <c r="G60" s="112">
        <v>647150</v>
      </c>
      <c r="H60" s="112">
        <f t="shared" si="6"/>
        <v>85350</v>
      </c>
      <c r="I60" s="186">
        <f t="shared" si="7"/>
        <v>0.15192239231043075</v>
      </c>
      <c r="J60" s="112">
        <f t="shared" si="8"/>
        <v>21350</v>
      </c>
      <c r="K60" s="186">
        <f t="shared" si="9"/>
        <v>3.411633109619687E-2</v>
      </c>
    </row>
    <row r="61" spans="1:11" s="21" customFormat="1">
      <c r="A61" s="115" t="s">
        <v>56</v>
      </c>
      <c r="B61" s="164">
        <f>B62+B63</f>
        <v>31070</v>
      </c>
      <c r="D61" s="164"/>
      <c r="E61" s="164">
        <f>E62+E63</f>
        <v>72200</v>
      </c>
      <c r="F61" s="164">
        <f t="shared" si="4"/>
        <v>103270</v>
      </c>
      <c r="G61" s="164">
        <v>10000</v>
      </c>
      <c r="H61" s="164">
        <f t="shared" si="6"/>
        <v>-21070</v>
      </c>
      <c r="I61" s="157">
        <f t="shared" si="7"/>
        <v>-0.67814612166076604</v>
      </c>
      <c r="J61" s="164">
        <f t="shared" si="8"/>
        <v>-93270</v>
      </c>
      <c r="K61" s="157">
        <f t="shared" si="9"/>
        <v>-0.90316645686065655</v>
      </c>
    </row>
    <row r="62" spans="1:11" s="21" customFormat="1">
      <c r="A62" s="116" t="s">
        <v>79</v>
      </c>
      <c r="B62" s="117">
        <v>10000</v>
      </c>
      <c r="D62" s="117"/>
      <c r="E62" s="117"/>
      <c r="F62" s="117">
        <f t="shared" si="4"/>
        <v>10000</v>
      </c>
      <c r="G62" s="117">
        <v>10000</v>
      </c>
      <c r="H62" s="117">
        <f t="shared" si="6"/>
        <v>0</v>
      </c>
      <c r="I62" s="189">
        <f t="shared" si="7"/>
        <v>0</v>
      </c>
      <c r="J62" s="117">
        <f t="shared" si="8"/>
        <v>0</v>
      </c>
      <c r="K62" s="189">
        <f t="shared" si="9"/>
        <v>0</v>
      </c>
    </row>
    <row r="63" spans="1:11" s="21" customFormat="1" ht="26.4">
      <c r="A63" s="116" t="s">
        <v>406</v>
      </c>
      <c r="B63" s="117">
        <f>36200-15130</f>
        <v>21070</v>
      </c>
      <c r="D63" s="117"/>
      <c r="E63" s="117">
        <v>72200</v>
      </c>
      <c r="F63" s="117">
        <f t="shared" si="4"/>
        <v>93270</v>
      </c>
      <c r="G63" s="117"/>
      <c r="H63" s="117">
        <f t="shared" si="6"/>
        <v>-21070</v>
      </c>
      <c r="I63" s="189">
        <f t="shared" si="7"/>
        <v>-1</v>
      </c>
      <c r="J63" s="117">
        <f t="shared" si="8"/>
        <v>-93270</v>
      </c>
      <c r="K63" s="189" t="str">
        <f t="shared" si="9"/>
        <v/>
      </c>
    </row>
    <row r="64" spans="1:11" s="21" customFormat="1">
      <c r="A64" s="111" t="s">
        <v>51</v>
      </c>
      <c r="B64" s="108">
        <f t="shared" ref="B64" si="16">B65+B66</f>
        <v>141450</v>
      </c>
      <c r="C64" s="108">
        <f t="shared" ref="C64:D64" si="17">C65+C66</f>
        <v>0</v>
      </c>
      <c r="D64" s="108">
        <f t="shared" si="17"/>
        <v>19610</v>
      </c>
      <c r="E64" s="108"/>
      <c r="F64" s="108">
        <f t="shared" si="4"/>
        <v>161060</v>
      </c>
      <c r="G64" s="108">
        <f>G65+G66</f>
        <v>177100</v>
      </c>
      <c r="H64" s="108">
        <f t="shared" si="6"/>
        <v>35650</v>
      </c>
      <c r="I64" s="158">
        <f t="shared" si="7"/>
        <v>0.25203252032520324</v>
      </c>
      <c r="J64" s="108">
        <f t="shared" si="8"/>
        <v>16040</v>
      </c>
      <c r="K64" s="158">
        <f t="shared" si="9"/>
        <v>9.9590214826772633E-2</v>
      </c>
    </row>
    <row r="65" spans="1:11" s="21" customFormat="1">
      <c r="A65" s="82" t="s">
        <v>69</v>
      </c>
      <c r="B65" s="118">
        <v>94450</v>
      </c>
      <c r="D65" s="118">
        <v>-8390</v>
      </c>
      <c r="E65" s="118"/>
      <c r="F65" s="118">
        <f t="shared" si="4"/>
        <v>86060</v>
      </c>
      <c r="G65" s="118">
        <v>102100</v>
      </c>
      <c r="H65" s="118">
        <f t="shared" si="6"/>
        <v>7650</v>
      </c>
      <c r="I65" s="159">
        <f t="shared" si="7"/>
        <v>8.0995235574377974E-2</v>
      </c>
      <c r="J65" s="118">
        <f t="shared" si="8"/>
        <v>16040</v>
      </c>
      <c r="K65" s="159">
        <f t="shared" si="9"/>
        <v>0.18638159423657913</v>
      </c>
    </row>
    <row r="66" spans="1:11" s="21" customFormat="1">
      <c r="A66" s="82" t="s">
        <v>70</v>
      </c>
      <c r="B66" s="118">
        <v>47000</v>
      </c>
      <c r="D66" s="118">
        <v>28000</v>
      </c>
      <c r="E66" s="118"/>
      <c r="F66" s="118">
        <f t="shared" si="4"/>
        <v>75000</v>
      </c>
      <c r="G66" s="118">
        <v>75000</v>
      </c>
      <c r="H66" s="118">
        <f t="shared" si="6"/>
        <v>28000</v>
      </c>
      <c r="I66" s="159">
        <f t="shared" si="7"/>
        <v>0.5957446808510638</v>
      </c>
      <c r="J66" s="118">
        <f t="shared" si="8"/>
        <v>0</v>
      </c>
      <c r="K66" s="159">
        <f t="shared" si="9"/>
        <v>0</v>
      </c>
    </row>
    <row r="67" spans="1:11" s="21" customFormat="1">
      <c r="A67" s="82"/>
      <c r="B67" s="118"/>
      <c r="D67" s="118"/>
      <c r="E67" s="118"/>
      <c r="F67" s="118">
        <f t="shared" si="4"/>
        <v>0</v>
      </c>
      <c r="G67" s="253"/>
      <c r="H67" s="118">
        <f t="shared" si="6"/>
        <v>0</v>
      </c>
      <c r="I67" s="159"/>
      <c r="J67" s="118">
        <f t="shared" si="8"/>
        <v>0</v>
      </c>
      <c r="K67" s="159" t="str">
        <f t="shared" si="9"/>
        <v/>
      </c>
    </row>
    <row r="68" spans="1:11" s="21" customFormat="1">
      <c r="A68" s="111" t="s">
        <v>188</v>
      </c>
      <c r="B68" s="108">
        <f>B69+B77</f>
        <v>13715100</v>
      </c>
      <c r="C68" s="108">
        <f>C69+C77</f>
        <v>0</v>
      </c>
      <c r="D68" s="108">
        <f>D69+D77</f>
        <v>-81640</v>
      </c>
      <c r="E68" s="108">
        <f>E69+E77</f>
        <v>50640</v>
      </c>
      <c r="F68" s="108">
        <f t="shared" si="4"/>
        <v>13684100</v>
      </c>
      <c r="G68" s="108">
        <f>G69+G77</f>
        <v>14280330</v>
      </c>
      <c r="H68" s="108">
        <f t="shared" si="6"/>
        <v>565230</v>
      </c>
      <c r="I68" s="158">
        <f t="shared" si="7"/>
        <v>4.1212240523218931E-2</v>
      </c>
      <c r="J68" s="108">
        <f t="shared" si="8"/>
        <v>596230</v>
      </c>
      <c r="K68" s="158">
        <f t="shared" si="9"/>
        <v>4.3571005765815803E-2</v>
      </c>
    </row>
    <row r="69" spans="1:11" s="21" customFormat="1">
      <c r="A69" s="111" t="s">
        <v>54</v>
      </c>
      <c r="B69" s="108">
        <f>B70+B71+B72+B73+B74+B75+B76</f>
        <v>13513540</v>
      </c>
      <c r="C69" s="108">
        <f>C70+C71+C72+C73+C74+C75+C76</f>
        <v>0</v>
      </c>
      <c r="D69" s="108">
        <f>D70+D71+D72+D73+D74+D75+D76</f>
        <v>-184850</v>
      </c>
      <c r="E69" s="108">
        <f>E70+E71+E72+E73+E74+E75+E76</f>
        <v>-9130</v>
      </c>
      <c r="F69" s="108">
        <f t="shared" si="4"/>
        <v>13319560</v>
      </c>
      <c r="G69" s="108">
        <f>G70+G71+G72+G73+G74+G75+G76</f>
        <v>13985990</v>
      </c>
      <c r="H69" s="108">
        <f t="shared" ref="H69:H129" si="18">G69-B69</f>
        <v>472450</v>
      </c>
      <c r="I69" s="158">
        <f t="shared" ref="I69:I129" si="19">H69/B69</f>
        <v>3.4961231475986308E-2</v>
      </c>
      <c r="J69" s="108">
        <f t="shared" ref="J69:J129" si="20">G69-F69</f>
        <v>666430</v>
      </c>
      <c r="K69" s="158">
        <f t="shared" ref="K69:K129" si="21">IF(G69=0,"",J69/F69)</f>
        <v>5.0033935054911723E-2</v>
      </c>
    </row>
    <row r="70" spans="1:11" s="21" customFormat="1">
      <c r="A70" s="83" t="s">
        <v>189</v>
      </c>
      <c r="B70" s="112">
        <v>359050</v>
      </c>
      <c r="D70" s="112">
        <v>158930</v>
      </c>
      <c r="E70" s="112">
        <v>366610</v>
      </c>
      <c r="F70" s="112">
        <f t="shared" si="4"/>
        <v>884590</v>
      </c>
      <c r="G70" s="112">
        <v>1013930</v>
      </c>
      <c r="H70" s="112">
        <f t="shared" si="18"/>
        <v>654880</v>
      </c>
      <c r="I70" s="186">
        <f t="shared" si="19"/>
        <v>1.8239242445341874</v>
      </c>
      <c r="J70" s="112">
        <f t="shared" si="20"/>
        <v>129340</v>
      </c>
      <c r="K70" s="186">
        <f t="shared" si="21"/>
        <v>0.14621463050678846</v>
      </c>
    </row>
    <row r="71" spans="1:11" s="21" customFormat="1">
      <c r="A71" s="83" t="s">
        <v>190</v>
      </c>
      <c r="B71" s="112">
        <v>12795160</v>
      </c>
      <c r="D71" s="112">
        <v>-302630</v>
      </c>
      <c r="E71" s="112">
        <v>-385080</v>
      </c>
      <c r="F71" s="112">
        <f t="shared" ref="F71:F134" si="22">SUM(B71:E71)</f>
        <v>12107450</v>
      </c>
      <c r="G71" s="112">
        <v>12640100</v>
      </c>
      <c r="H71" s="112">
        <f t="shared" si="18"/>
        <v>-155060</v>
      </c>
      <c r="I71" s="186">
        <f t="shared" si="19"/>
        <v>-1.2118644862588667E-2</v>
      </c>
      <c r="J71" s="112">
        <f t="shared" si="20"/>
        <v>532650</v>
      </c>
      <c r="K71" s="186">
        <f t="shared" si="21"/>
        <v>4.399357420431222E-2</v>
      </c>
    </row>
    <row r="72" spans="1:11" s="21" customFormat="1">
      <c r="A72" s="82" t="s">
        <v>191</v>
      </c>
      <c r="B72" s="118">
        <v>72100</v>
      </c>
      <c r="D72" s="118">
        <v>1660</v>
      </c>
      <c r="E72" s="118">
        <v>-470</v>
      </c>
      <c r="F72" s="118">
        <f t="shared" si="22"/>
        <v>73290</v>
      </c>
      <c r="G72" s="118">
        <v>74210</v>
      </c>
      <c r="H72" s="118">
        <f t="shared" si="18"/>
        <v>2110</v>
      </c>
      <c r="I72" s="159">
        <f t="shared" si="19"/>
        <v>2.9264909847434118E-2</v>
      </c>
      <c r="J72" s="118">
        <f t="shared" si="20"/>
        <v>920</v>
      </c>
      <c r="K72" s="159">
        <f t="shared" si="21"/>
        <v>1.255287215172602E-2</v>
      </c>
    </row>
    <row r="73" spans="1:11" s="21" customFormat="1">
      <c r="A73" s="82" t="s">
        <v>192</v>
      </c>
      <c r="B73" s="118">
        <v>1290</v>
      </c>
      <c r="D73" s="118">
        <v>370</v>
      </c>
      <c r="E73" s="118">
        <v>900</v>
      </c>
      <c r="F73" s="118">
        <f t="shared" si="22"/>
        <v>2560</v>
      </c>
      <c r="G73" s="118">
        <v>1320</v>
      </c>
      <c r="H73" s="118">
        <f t="shared" si="18"/>
        <v>30</v>
      </c>
      <c r="I73" s="159">
        <f t="shared" si="19"/>
        <v>2.3255813953488372E-2</v>
      </c>
      <c r="J73" s="118">
        <f t="shared" si="20"/>
        <v>-1240</v>
      </c>
      <c r="K73" s="159">
        <f t="shared" si="21"/>
        <v>-0.484375</v>
      </c>
    </row>
    <row r="74" spans="1:11" s="21" customFormat="1">
      <c r="A74" s="82" t="s">
        <v>193</v>
      </c>
      <c r="B74" s="118">
        <v>181900</v>
      </c>
      <c r="D74" s="118">
        <v>-36470</v>
      </c>
      <c r="E74" s="118">
        <v>6330</v>
      </c>
      <c r="F74" s="118">
        <f t="shared" si="22"/>
        <v>151760</v>
      </c>
      <c r="G74" s="118">
        <v>156000</v>
      </c>
      <c r="H74" s="118">
        <f t="shared" si="18"/>
        <v>-25900</v>
      </c>
      <c r="I74" s="159">
        <f t="shared" si="19"/>
        <v>-0.14238592633315009</v>
      </c>
      <c r="J74" s="118">
        <f t="shared" si="20"/>
        <v>4240</v>
      </c>
      <c r="K74" s="159">
        <f t="shared" si="21"/>
        <v>2.79388508170796E-2</v>
      </c>
    </row>
    <row r="75" spans="1:11" s="21" customFormat="1">
      <c r="A75" s="82" t="s">
        <v>76</v>
      </c>
      <c r="B75" s="118">
        <v>760</v>
      </c>
      <c r="D75" s="118">
        <v>60</v>
      </c>
      <c r="E75" s="118">
        <v>-170</v>
      </c>
      <c r="F75" s="118">
        <f t="shared" si="22"/>
        <v>650</v>
      </c>
      <c r="G75" s="118">
        <v>560</v>
      </c>
      <c r="H75" s="118">
        <f t="shared" si="18"/>
        <v>-200</v>
      </c>
      <c r="I75" s="159">
        <f t="shared" si="19"/>
        <v>-0.26315789473684209</v>
      </c>
      <c r="J75" s="118">
        <f t="shared" si="20"/>
        <v>-90</v>
      </c>
      <c r="K75" s="159">
        <f t="shared" si="21"/>
        <v>-0.13846153846153847</v>
      </c>
    </row>
    <row r="76" spans="1:11" s="21" customFormat="1">
      <c r="A76" s="82" t="s">
        <v>180</v>
      </c>
      <c r="B76" s="118">
        <v>103280</v>
      </c>
      <c r="D76" s="118">
        <v>-6770</v>
      </c>
      <c r="E76" s="118">
        <v>2750</v>
      </c>
      <c r="F76" s="118">
        <f t="shared" si="22"/>
        <v>99260</v>
      </c>
      <c r="G76" s="118">
        <v>99870</v>
      </c>
      <c r="H76" s="118">
        <f t="shared" si="18"/>
        <v>-3410</v>
      </c>
      <c r="I76" s="159">
        <f t="shared" si="19"/>
        <v>-3.3017041053446938E-2</v>
      </c>
      <c r="J76" s="118">
        <f t="shared" si="20"/>
        <v>610</v>
      </c>
      <c r="K76" s="159">
        <f t="shared" si="21"/>
        <v>6.1454765262945795E-3</v>
      </c>
    </row>
    <row r="77" spans="1:11" s="21" customFormat="1">
      <c r="A77" s="111" t="s">
        <v>51</v>
      </c>
      <c r="B77" s="108">
        <f t="shared" ref="B77" si="23">B78+B79</f>
        <v>201560</v>
      </c>
      <c r="C77" s="108">
        <f t="shared" ref="C77:D77" si="24">C78+C79</f>
        <v>0</v>
      </c>
      <c r="D77" s="108">
        <f t="shared" si="24"/>
        <v>103210</v>
      </c>
      <c r="E77" s="108">
        <f>SUM(E78:E79)</f>
        <v>59770</v>
      </c>
      <c r="F77" s="108">
        <f t="shared" si="22"/>
        <v>364540</v>
      </c>
      <c r="G77" s="108">
        <f>SUM(G78:G79)</f>
        <v>294340</v>
      </c>
      <c r="H77" s="108">
        <f t="shared" si="18"/>
        <v>92780</v>
      </c>
      <c r="I77" s="158">
        <f t="shared" si="19"/>
        <v>0.46030958523516569</v>
      </c>
      <c r="J77" s="108">
        <f t="shared" si="20"/>
        <v>-70200</v>
      </c>
      <c r="K77" s="158">
        <f t="shared" si="21"/>
        <v>-0.1925714599220936</v>
      </c>
    </row>
    <row r="78" spans="1:11" s="21" customFormat="1">
      <c r="A78" s="82" t="s">
        <v>69</v>
      </c>
      <c r="B78" s="118">
        <v>14220</v>
      </c>
      <c r="D78" s="118">
        <v>-2080</v>
      </c>
      <c r="E78" s="118">
        <v>2320</v>
      </c>
      <c r="F78" s="118">
        <f t="shared" si="22"/>
        <v>14460</v>
      </c>
      <c r="G78" s="118">
        <v>13960</v>
      </c>
      <c r="H78" s="118">
        <f t="shared" si="18"/>
        <v>-260</v>
      </c>
      <c r="I78" s="159">
        <f t="shared" si="19"/>
        <v>-1.8284106891701828E-2</v>
      </c>
      <c r="J78" s="118">
        <f t="shared" si="20"/>
        <v>-500</v>
      </c>
      <c r="K78" s="159">
        <f t="shared" si="21"/>
        <v>-3.4578146611341634E-2</v>
      </c>
    </row>
    <row r="79" spans="1:11" s="21" customFormat="1">
      <c r="A79" s="82" t="s">
        <v>70</v>
      </c>
      <c r="B79" s="118">
        <v>187340</v>
      </c>
      <c r="D79" s="118">
        <v>105290</v>
      </c>
      <c r="E79" s="118">
        <v>57450</v>
      </c>
      <c r="F79" s="118">
        <f t="shared" si="22"/>
        <v>350080</v>
      </c>
      <c r="G79" s="118">
        <f>260810+18110+1530-70</f>
        <v>280380</v>
      </c>
      <c r="H79" s="118">
        <f t="shared" si="18"/>
        <v>93040</v>
      </c>
      <c r="I79" s="159">
        <f t="shared" si="19"/>
        <v>0.49663713035123302</v>
      </c>
      <c r="J79" s="118">
        <f t="shared" si="20"/>
        <v>-69700</v>
      </c>
      <c r="K79" s="159">
        <f t="shared" si="21"/>
        <v>-0.19909734917733091</v>
      </c>
    </row>
    <row r="80" spans="1:11" s="21" customFormat="1">
      <c r="A80" s="82"/>
      <c r="B80" s="118"/>
      <c r="D80" s="118"/>
      <c r="E80" s="118"/>
      <c r="F80" s="118">
        <f t="shared" si="22"/>
        <v>0</v>
      </c>
      <c r="G80" s="253"/>
      <c r="H80" s="118">
        <f t="shared" si="18"/>
        <v>0</v>
      </c>
      <c r="I80" s="159"/>
      <c r="J80" s="118">
        <f t="shared" si="20"/>
        <v>0</v>
      </c>
      <c r="K80" s="159" t="str">
        <f t="shared" si="21"/>
        <v/>
      </c>
    </row>
    <row r="81" spans="1:11" s="21" customFormat="1">
      <c r="A81" s="119" t="s">
        <v>194</v>
      </c>
      <c r="B81" s="120">
        <f>B82+B94</f>
        <v>5087940</v>
      </c>
      <c r="C81" s="120">
        <f>C82+C94</f>
        <v>0</v>
      </c>
      <c r="D81" s="120">
        <f>D82+D94</f>
        <v>56880</v>
      </c>
      <c r="E81" s="120">
        <f>E82+E94</f>
        <v>290310</v>
      </c>
      <c r="F81" s="120">
        <f t="shared" si="22"/>
        <v>5435130</v>
      </c>
      <c r="G81" s="120">
        <f>G82+G94</f>
        <v>5021040</v>
      </c>
      <c r="H81" s="120">
        <f t="shared" si="18"/>
        <v>-66900</v>
      </c>
      <c r="I81" s="187">
        <f t="shared" si="19"/>
        <v>-1.314873996155615E-2</v>
      </c>
      <c r="J81" s="120">
        <f t="shared" si="20"/>
        <v>-414090</v>
      </c>
      <c r="K81" s="187">
        <f t="shared" si="21"/>
        <v>-7.618769008284991E-2</v>
      </c>
    </row>
    <row r="82" spans="1:11" s="21" customFormat="1">
      <c r="A82" s="111" t="s">
        <v>54</v>
      </c>
      <c r="B82" s="108">
        <f>B83+B84+B85+B86+B87+B88+B89+B91++B90+B92+B93</f>
        <v>4498510</v>
      </c>
      <c r="C82" s="108">
        <f>C83+C84+C85+C86+C87+C88+C89+C91++C90+C92+C93</f>
        <v>0</v>
      </c>
      <c r="D82" s="108">
        <f>D83+D84+D85+D86+D87+D88+D89+D91++D90+D92+D93</f>
        <v>64080</v>
      </c>
      <c r="E82" s="108">
        <f>E83+E84+E85+E86+E87+E88+E89+E90+E91+E92+E93</f>
        <v>107380</v>
      </c>
      <c r="F82" s="108">
        <f t="shared" si="22"/>
        <v>4669970</v>
      </c>
      <c r="G82" s="108">
        <f>G83+G84+G85+G86+G87+G88+G89+G90+G91+G92+G93</f>
        <v>4379250</v>
      </c>
      <c r="H82" s="108">
        <f t="shared" si="18"/>
        <v>-119260</v>
      </c>
      <c r="I82" s="158">
        <f t="shared" si="19"/>
        <v>-2.6511000308991201E-2</v>
      </c>
      <c r="J82" s="108">
        <f t="shared" si="20"/>
        <v>-290720</v>
      </c>
      <c r="K82" s="158">
        <f t="shared" si="21"/>
        <v>-6.2253076572226375E-2</v>
      </c>
    </row>
    <row r="83" spans="1:11" s="21" customFormat="1">
      <c r="A83" s="83" t="s">
        <v>189</v>
      </c>
      <c r="B83" s="112">
        <v>14780</v>
      </c>
      <c r="D83" s="112">
        <v>-7270</v>
      </c>
      <c r="E83" s="118">
        <v>-360</v>
      </c>
      <c r="F83" s="112">
        <f t="shared" si="22"/>
        <v>7150</v>
      </c>
      <c r="G83" s="112">
        <v>9950</v>
      </c>
      <c r="H83" s="112">
        <f t="shared" si="18"/>
        <v>-4830</v>
      </c>
      <c r="I83" s="186">
        <f t="shared" si="19"/>
        <v>-0.32679296346414072</v>
      </c>
      <c r="J83" s="112">
        <f t="shared" si="20"/>
        <v>2800</v>
      </c>
      <c r="K83" s="186">
        <f t="shared" si="21"/>
        <v>0.39160839160839161</v>
      </c>
    </row>
    <row r="84" spans="1:11" s="21" customFormat="1">
      <c r="A84" s="83" t="s">
        <v>190</v>
      </c>
      <c r="B84" s="112">
        <v>70380</v>
      </c>
      <c r="D84" s="112">
        <v>-13050</v>
      </c>
      <c r="E84" s="118">
        <v>2740</v>
      </c>
      <c r="F84" s="112">
        <f t="shared" si="22"/>
        <v>60070</v>
      </c>
      <c r="G84" s="112">
        <v>63170</v>
      </c>
      <c r="H84" s="112">
        <f t="shared" si="18"/>
        <v>-7210</v>
      </c>
      <c r="I84" s="186">
        <f t="shared" si="19"/>
        <v>-0.10244387610116511</v>
      </c>
      <c r="J84" s="112">
        <f t="shared" si="20"/>
        <v>3100</v>
      </c>
      <c r="K84" s="186">
        <f t="shared" si="21"/>
        <v>5.1606459131013818E-2</v>
      </c>
    </row>
    <row r="85" spans="1:11" s="21" customFormat="1">
      <c r="A85" s="83" t="s">
        <v>195</v>
      </c>
      <c r="B85" s="112">
        <v>29560</v>
      </c>
      <c r="D85" s="112">
        <v>480</v>
      </c>
      <c r="E85" s="112">
        <v>1000</v>
      </c>
      <c r="F85" s="112">
        <f t="shared" si="22"/>
        <v>31040</v>
      </c>
      <c r="G85" s="112">
        <v>30060</v>
      </c>
      <c r="H85" s="112">
        <f t="shared" si="18"/>
        <v>500</v>
      </c>
      <c r="I85" s="186">
        <f t="shared" si="19"/>
        <v>1.6914749661705007E-2</v>
      </c>
      <c r="J85" s="112">
        <f t="shared" si="20"/>
        <v>-980</v>
      </c>
      <c r="K85" s="186">
        <f t="shared" si="21"/>
        <v>-3.1572164948453607E-2</v>
      </c>
    </row>
    <row r="86" spans="1:11" s="21" customFormat="1">
      <c r="A86" s="82" t="s">
        <v>75</v>
      </c>
      <c r="B86" s="118">
        <v>1718990</v>
      </c>
      <c r="D86" s="118">
        <v>29800</v>
      </c>
      <c r="E86" s="118">
        <v>91800</v>
      </c>
      <c r="F86" s="118">
        <f t="shared" si="22"/>
        <v>1840590</v>
      </c>
      <c r="G86" s="118">
        <v>1684230</v>
      </c>
      <c r="H86" s="118">
        <f t="shared" si="18"/>
        <v>-34760</v>
      </c>
      <c r="I86" s="159">
        <f t="shared" si="19"/>
        <v>-2.0221176388460667E-2</v>
      </c>
      <c r="J86" s="118">
        <f t="shared" si="20"/>
        <v>-156360</v>
      </c>
      <c r="K86" s="159">
        <f t="shared" si="21"/>
        <v>-8.4951021139960559E-2</v>
      </c>
    </row>
    <row r="87" spans="1:11" s="21" customFormat="1">
      <c r="A87" s="82" t="s">
        <v>196</v>
      </c>
      <c r="B87" s="118">
        <v>368710</v>
      </c>
      <c r="D87" s="118">
        <v>10500</v>
      </c>
      <c r="E87" s="118">
        <v>2000</v>
      </c>
      <c r="F87" s="118">
        <f t="shared" si="22"/>
        <v>381210</v>
      </c>
      <c r="G87" s="118">
        <v>387500</v>
      </c>
      <c r="H87" s="118">
        <f t="shared" si="18"/>
        <v>18790</v>
      </c>
      <c r="I87" s="159">
        <f t="shared" si="19"/>
        <v>5.0961460226194029E-2</v>
      </c>
      <c r="J87" s="118">
        <f t="shared" si="20"/>
        <v>6290</v>
      </c>
      <c r="K87" s="159">
        <f t="shared" si="21"/>
        <v>1.6500091812911517E-2</v>
      </c>
    </row>
    <row r="88" spans="1:11" s="21" customFormat="1">
      <c r="A88" s="82" t="s">
        <v>77</v>
      </c>
      <c r="B88" s="118">
        <v>7500</v>
      </c>
      <c r="D88" s="118"/>
      <c r="E88" s="118"/>
      <c r="F88" s="118">
        <f t="shared" si="22"/>
        <v>7500</v>
      </c>
      <c r="G88" s="118">
        <v>7500</v>
      </c>
      <c r="H88" s="118">
        <f t="shared" si="18"/>
        <v>0</v>
      </c>
      <c r="I88" s="159">
        <f t="shared" si="19"/>
        <v>0</v>
      </c>
      <c r="J88" s="118">
        <f t="shared" si="20"/>
        <v>0</v>
      </c>
      <c r="K88" s="159">
        <f t="shared" si="21"/>
        <v>0</v>
      </c>
    </row>
    <row r="89" spans="1:11" s="21" customFormat="1">
      <c r="A89" s="82" t="s">
        <v>193</v>
      </c>
      <c r="B89" s="118">
        <v>2192260</v>
      </c>
      <c r="D89" s="118"/>
      <c r="E89" s="118">
        <v>2200</v>
      </c>
      <c r="F89" s="118">
        <f t="shared" si="22"/>
        <v>2194460</v>
      </c>
      <c r="G89" s="118">
        <v>2117960</v>
      </c>
      <c r="H89" s="118">
        <f t="shared" si="18"/>
        <v>-74300</v>
      </c>
      <c r="I89" s="159">
        <f t="shared" si="19"/>
        <v>-3.3891965369071186E-2</v>
      </c>
      <c r="J89" s="118">
        <f t="shared" si="20"/>
        <v>-76500</v>
      </c>
      <c r="K89" s="159">
        <f t="shared" si="21"/>
        <v>-3.4860512381178058E-2</v>
      </c>
    </row>
    <row r="90" spans="1:11" s="21" customFormat="1">
      <c r="A90" s="83" t="s">
        <v>76</v>
      </c>
      <c r="B90" s="112">
        <v>24920</v>
      </c>
      <c r="D90" s="112"/>
      <c r="E90" s="112"/>
      <c r="F90" s="112">
        <f t="shared" si="22"/>
        <v>24920</v>
      </c>
      <c r="G90" s="112">
        <v>24420</v>
      </c>
      <c r="H90" s="112">
        <f t="shared" si="18"/>
        <v>-500</v>
      </c>
      <c r="I90" s="186">
        <f t="shared" si="19"/>
        <v>-2.0064205457463884E-2</v>
      </c>
      <c r="J90" s="112">
        <f t="shared" si="20"/>
        <v>-500</v>
      </c>
      <c r="K90" s="186">
        <f t="shared" si="21"/>
        <v>-2.0064205457463884E-2</v>
      </c>
    </row>
    <row r="91" spans="1:11" s="21" customFormat="1">
      <c r="A91" s="82" t="s">
        <v>197</v>
      </c>
      <c r="B91" s="118">
        <v>1000</v>
      </c>
      <c r="D91" s="118">
        <v>55330</v>
      </c>
      <c r="E91" s="118">
        <v>1000</v>
      </c>
      <c r="F91" s="118">
        <f t="shared" si="22"/>
        <v>57330</v>
      </c>
      <c r="G91" s="118">
        <v>1000</v>
      </c>
      <c r="H91" s="118">
        <f t="shared" si="18"/>
        <v>0</v>
      </c>
      <c r="I91" s="159">
        <f t="shared" si="19"/>
        <v>0</v>
      </c>
      <c r="J91" s="118">
        <f t="shared" si="20"/>
        <v>-56330</v>
      </c>
      <c r="K91" s="159">
        <f t="shared" si="21"/>
        <v>-0.98255712541426832</v>
      </c>
    </row>
    <row r="92" spans="1:11" s="21" customFormat="1">
      <c r="A92" s="82" t="s">
        <v>198</v>
      </c>
      <c r="B92" s="118">
        <v>4000</v>
      </c>
      <c r="D92" s="118"/>
      <c r="E92" s="118">
        <v>1000</v>
      </c>
      <c r="F92" s="118">
        <f t="shared" si="22"/>
        <v>5000</v>
      </c>
      <c r="G92" s="118">
        <v>5000</v>
      </c>
      <c r="H92" s="118">
        <f t="shared" si="18"/>
        <v>1000</v>
      </c>
      <c r="I92" s="159">
        <f t="shared" si="19"/>
        <v>0.25</v>
      </c>
      <c r="J92" s="118">
        <f t="shared" si="20"/>
        <v>0</v>
      </c>
      <c r="K92" s="159">
        <f t="shared" si="21"/>
        <v>0</v>
      </c>
    </row>
    <row r="93" spans="1:11" s="21" customFormat="1">
      <c r="A93" s="82" t="s">
        <v>180</v>
      </c>
      <c r="B93" s="118">
        <v>66410</v>
      </c>
      <c r="D93" s="118">
        <v>-11710</v>
      </c>
      <c r="E93" s="118">
        <v>6000</v>
      </c>
      <c r="F93" s="118">
        <f t="shared" si="22"/>
        <v>60700</v>
      </c>
      <c r="G93" s="118">
        <v>48460</v>
      </c>
      <c r="H93" s="118">
        <f t="shared" si="18"/>
        <v>-17950</v>
      </c>
      <c r="I93" s="159">
        <f t="shared" si="19"/>
        <v>-0.2702906188826984</v>
      </c>
      <c r="J93" s="118">
        <f t="shared" si="20"/>
        <v>-12240</v>
      </c>
      <c r="K93" s="159">
        <f t="shared" si="21"/>
        <v>-0.20164744645799013</v>
      </c>
    </row>
    <row r="94" spans="1:11" s="21" customFormat="1">
      <c r="A94" s="111" t="s">
        <v>51</v>
      </c>
      <c r="B94" s="108">
        <f>SUM(B95:B96)</f>
        <v>589430</v>
      </c>
      <c r="C94" s="108">
        <f t="shared" ref="C94:D94" si="25">SUM(C95:C96)</f>
        <v>0</v>
      </c>
      <c r="D94" s="108">
        <f t="shared" si="25"/>
        <v>-7200</v>
      </c>
      <c r="E94" s="108">
        <f>SUM(E95:E96)</f>
        <v>182930</v>
      </c>
      <c r="F94" s="108">
        <f t="shared" si="22"/>
        <v>765160</v>
      </c>
      <c r="G94" s="108">
        <f>SUM(G95:G96)</f>
        <v>641790</v>
      </c>
      <c r="H94" s="108">
        <f t="shared" si="18"/>
        <v>52360</v>
      </c>
      <c r="I94" s="158">
        <f t="shared" si="19"/>
        <v>8.8831583054815672E-2</v>
      </c>
      <c r="J94" s="108">
        <f t="shared" si="20"/>
        <v>-123370</v>
      </c>
      <c r="K94" s="158">
        <f t="shared" si="21"/>
        <v>-0.16123425165978358</v>
      </c>
    </row>
    <row r="95" spans="1:11" s="21" customFormat="1">
      <c r="A95" s="82" t="s">
        <v>69</v>
      </c>
      <c r="B95" s="118">
        <f>40700+19770+8670</f>
        <v>69140</v>
      </c>
      <c r="D95" s="118">
        <v>-8700</v>
      </c>
      <c r="E95" s="118">
        <v>200</v>
      </c>
      <c r="F95" s="118">
        <f t="shared" si="22"/>
        <v>60640</v>
      </c>
      <c r="G95" s="118">
        <f>62570-3490</f>
        <v>59080</v>
      </c>
      <c r="H95" s="118">
        <f t="shared" si="18"/>
        <v>-10060</v>
      </c>
      <c r="I95" s="159">
        <f t="shared" si="19"/>
        <v>-0.14550188024298524</v>
      </c>
      <c r="J95" s="118">
        <f t="shared" si="20"/>
        <v>-1560</v>
      </c>
      <c r="K95" s="159">
        <f t="shared" si="21"/>
        <v>-2.5725593667546173E-2</v>
      </c>
    </row>
    <row r="96" spans="1:11" s="21" customFormat="1">
      <c r="A96" s="82" t="s">
        <v>70</v>
      </c>
      <c r="B96" s="118">
        <v>520290</v>
      </c>
      <c r="D96" s="118">
        <v>1500</v>
      </c>
      <c r="E96" s="118">
        <v>182730</v>
      </c>
      <c r="F96" s="118">
        <f t="shared" si="22"/>
        <v>704520</v>
      </c>
      <c r="G96" s="118">
        <v>582710</v>
      </c>
      <c r="H96" s="118">
        <f t="shared" si="18"/>
        <v>62420</v>
      </c>
      <c r="I96" s="159">
        <f t="shared" si="19"/>
        <v>0.11997155432547234</v>
      </c>
      <c r="J96" s="118">
        <f t="shared" si="20"/>
        <v>-121810</v>
      </c>
      <c r="K96" s="159">
        <f t="shared" si="21"/>
        <v>-0.17289785953557033</v>
      </c>
    </row>
    <row r="97" spans="1:11" s="21" customFormat="1">
      <c r="A97" s="82"/>
      <c r="B97" s="118"/>
      <c r="D97" s="118"/>
      <c r="E97" s="118"/>
      <c r="F97" s="118">
        <f t="shared" si="22"/>
        <v>0</v>
      </c>
      <c r="G97" s="253"/>
      <c r="H97" s="118">
        <f t="shared" si="18"/>
        <v>0</v>
      </c>
      <c r="I97" s="159"/>
      <c r="J97" s="118">
        <f t="shared" si="20"/>
        <v>0</v>
      </c>
      <c r="K97" s="159" t="str">
        <f t="shared" si="21"/>
        <v/>
      </c>
    </row>
    <row r="98" spans="1:11" s="21" customFormat="1">
      <c r="A98" s="119" t="s">
        <v>199</v>
      </c>
      <c r="B98" s="120">
        <f>B99+B103</f>
        <v>31000</v>
      </c>
      <c r="D98" s="120"/>
      <c r="E98" s="120">
        <f>E99+E103</f>
        <v>0</v>
      </c>
      <c r="F98" s="120">
        <f t="shared" si="22"/>
        <v>31000</v>
      </c>
      <c r="G98" s="120">
        <f>G99+G103</f>
        <v>33300</v>
      </c>
      <c r="H98" s="120">
        <f t="shared" si="18"/>
        <v>2300</v>
      </c>
      <c r="I98" s="187">
        <f t="shared" si="19"/>
        <v>7.4193548387096769E-2</v>
      </c>
      <c r="J98" s="120">
        <f t="shared" si="20"/>
        <v>2300</v>
      </c>
      <c r="K98" s="187">
        <f t="shared" si="21"/>
        <v>7.4193548387096769E-2</v>
      </c>
    </row>
    <row r="99" spans="1:11" s="21" customFormat="1">
      <c r="A99" s="111" t="s">
        <v>54</v>
      </c>
      <c r="B99" s="108">
        <f>SUM(B100:B101)</f>
        <v>13000</v>
      </c>
      <c r="D99" s="108"/>
      <c r="E99" s="108">
        <f>E100+E101+E102</f>
        <v>0</v>
      </c>
      <c r="F99" s="108">
        <f t="shared" si="22"/>
        <v>13000</v>
      </c>
      <c r="G99" s="108">
        <f>G100+G101</f>
        <v>16000</v>
      </c>
      <c r="H99" s="108">
        <f t="shared" si="18"/>
        <v>3000</v>
      </c>
      <c r="I99" s="158">
        <f t="shared" si="19"/>
        <v>0.23076923076923078</v>
      </c>
      <c r="J99" s="108">
        <f t="shared" si="20"/>
        <v>3000</v>
      </c>
      <c r="K99" s="158">
        <f t="shared" si="21"/>
        <v>0.23076923076923078</v>
      </c>
    </row>
    <row r="100" spans="1:11" s="21" customFormat="1">
      <c r="A100" s="83" t="s">
        <v>200</v>
      </c>
      <c r="B100" s="112">
        <v>10000</v>
      </c>
      <c r="D100" s="112"/>
      <c r="E100" s="112"/>
      <c r="F100" s="112">
        <f t="shared" si="22"/>
        <v>10000</v>
      </c>
      <c r="G100" s="112">
        <v>15000</v>
      </c>
      <c r="H100" s="112">
        <f t="shared" si="18"/>
        <v>5000</v>
      </c>
      <c r="I100" s="186">
        <f t="shared" si="19"/>
        <v>0.5</v>
      </c>
      <c r="J100" s="112">
        <f t="shared" si="20"/>
        <v>5000</v>
      </c>
      <c r="K100" s="186">
        <f t="shared" si="21"/>
        <v>0.5</v>
      </c>
    </row>
    <row r="101" spans="1:11" s="21" customFormat="1">
      <c r="A101" s="82" t="s">
        <v>193</v>
      </c>
      <c r="B101" s="118">
        <v>3000</v>
      </c>
      <c r="D101" s="118"/>
      <c r="E101" s="118">
        <v>-980</v>
      </c>
      <c r="F101" s="118">
        <f t="shared" si="22"/>
        <v>2020</v>
      </c>
      <c r="G101" s="118">
        <v>1000</v>
      </c>
      <c r="H101" s="118">
        <f t="shared" si="18"/>
        <v>-2000</v>
      </c>
      <c r="I101" s="159">
        <f t="shared" si="19"/>
        <v>-0.66666666666666663</v>
      </c>
      <c r="J101" s="118">
        <f t="shared" si="20"/>
        <v>-1020</v>
      </c>
      <c r="K101" s="159">
        <f t="shared" si="21"/>
        <v>-0.50495049504950495</v>
      </c>
    </row>
    <row r="102" spans="1:11" s="21" customFormat="1">
      <c r="A102" s="698" t="s">
        <v>180</v>
      </c>
      <c r="B102" s="118"/>
      <c r="D102" s="118"/>
      <c r="E102" s="118">
        <v>980</v>
      </c>
      <c r="F102" s="118">
        <f t="shared" si="22"/>
        <v>980</v>
      </c>
      <c r="G102" s="118"/>
      <c r="H102" s="118">
        <f t="shared" si="18"/>
        <v>0</v>
      </c>
      <c r="I102" s="159"/>
      <c r="J102" s="118">
        <f t="shared" si="20"/>
        <v>-980</v>
      </c>
      <c r="K102" s="159" t="str">
        <f t="shared" si="21"/>
        <v/>
      </c>
    </row>
    <row r="103" spans="1:11" s="21" customFormat="1">
      <c r="A103" s="111" t="s">
        <v>51</v>
      </c>
      <c r="B103" s="108">
        <f t="shared" ref="B103" si="26">B104</f>
        <v>18000</v>
      </c>
      <c r="D103" s="108"/>
      <c r="E103" s="108"/>
      <c r="F103" s="108">
        <f t="shared" si="22"/>
        <v>18000</v>
      </c>
      <c r="G103" s="108">
        <f>G104</f>
        <v>17300</v>
      </c>
      <c r="H103" s="108">
        <f t="shared" si="18"/>
        <v>-700</v>
      </c>
      <c r="I103" s="158">
        <f t="shared" si="19"/>
        <v>-3.888888888888889E-2</v>
      </c>
      <c r="J103" s="108">
        <f t="shared" si="20"/>
        <v>-700</v>
      </c>
      <c r="K103" s="158">
        <f t="shared" si="21"/>
        <v>-3.888888888888889E-2</v>
      </c>
    </row>
    <row r="104" spans="1:11" s="21" customFormat="1">
      <c r="A104" s="82" t="s">
        <v>70</v>
      </c>
      <c r="B104" s="118">
        <v>18000</v>
      </c>
      <c r="D104" s="118"/>
      <c r="E104" s="118"/>
      <c r="F104" s="118">
        <f t="shared" si="22"/>
        <v>18000</v>
      </c>
      <c r="G104" s="118">
        <v>17300</v>
      </c>
      <c r="H104" s="118">
        <f t="shared" si="18"/>
        <v>-700</v>
      </c>
      <c r="I104" s="159">
        <f t="shared" si="19"/>
        <v>-3.888888888888889E-2</v>
      </c>
      <c r="J104" s="118">
        <f t="shared" si="20"/>
        <v>-700</v>
      </c>
      <c r="K104" s="159">
        <f t="shared" si="21"/>
        <v>-3.888888888888889E-2</v>
      </c>
    </row>
    <row r="105" spans="1:11" s="21" customFormat="1">
      <c r="A105" s="82"/>
      <c r="B105" s="118"/>
      <c r="D105" s="118"/>
      <c r="E105" s="118"/>
      <c r="F105" s="118">
        <f t="shared" si="22"/>
        <v>0</v>
      </c>
      <c r="G105" s="118"/>
      <c r="H105" s="118">
        <f t="shared" si="18"/>
        <v>0</v>
      </c>
      <c r="I105" s="159"/>
      <c r="J105" s="118">
        <f t="shared" si="20"/>
        <v>0</v>
      </c>
      <c r="K105" s="159" t="str">
        <f t="shared" si="21"/>
        <v/>
      </c>
    </row>
    <row r="106" spans="1:11" s="21" customFormat="1">
      <c r="A106" s="111" t="s">
        <v>201</v>
      </c>
      <c r="B106" s="108">
        <f>B107+B115</f>
        <v>3614110</v>
      </c>
      <c r="C106" s="108">
        <f>C107+C115</f>
        <v>0</v>
      </c>
      <c r="D106" s="108">
        <f>D107+D115</f>
        <v>-93170</v>
      </c>
      <c r="E106" s="108">
        <f>E107+E115</f>
        <v>58070</v>
      </c>
      <c r="F106" s="108">
        <f t="shared" si="22"/>
        <v>3579010</v>
      </c>
      <c r="G106" s="108">
        <f>G107+G115</f>
        <v>3617640</v>
      </c>
      <c r="H106" s="108">
        <f t="shared" si="18"/>
        <v>3530</v>
      </c>
      <c r="I106" s="158">
        <f t="shared" si="19"/>
        <v>9.7672732705977395E-4</v>
      </c>
      <c r="J106" s="108">
        <f t="shared" si="20"/>
        <v>38630</v>
      </c>
      <c r="K106" s="158">
        <f t="shared" si="21"/>
        <v>1.0793487584555506E-2</v>
      </c>
    </row>
    <row r="107" spans="1:11" s="21" customFormat="1">
      <c r="A107" s="111" t="s">
        <v>54</v>
      </c>
      <c r="B107" s="108">
        <f>B108+B109+B110+B111+B113+B114</f>
        <v>3569460</v>
      </c>
      <c r="C107" s="108">
        <f t="shared" ref="C107:D107" si="27">C108+C109+C110+C111+C113+C114</f>
        <v>0</v>
      </c>
      <c r="D107" s="108">
        <f t="shared" si="27"/>
        <v>-103180</v>
      </c>
      <c r="E107" s="108">
        <f>E108+E109+E110+E111+E113+E114+E112</f>
        <v>53320</v>
      </c>
      <c r="F107" s="108">
        <f t="shared" si="22"/>
        <v>3519600</v>
      </c>
      <c r="G107" s="108">
        <f>G108+G109+G110+G111+G113+G114</f>
        <v>3564990</v>
      </c>
      <c r="H107" s="108">
        <f t="shared" si="18"/>
        <v>-4470</v>
      </c>
      <c r="I107" s="158">
        <f t="shared" si="19"/>
        <v>-1.2522902623926307E-3</v>
      </c>
      <c r="J107" s="108">
        <f t="shared" si="20"/>
        <v>45390</v>
      </c>
      <c r="K107" s="158">
        <f t="shared" si="21"/>
        <v>1.28963518581657E-2</v>
      </c>
    </row>
    <row r="108" spans="1:11">
      <c r="A108" s="82" t="s">
        <v>196</v>
      </c>
      <c r="B108" s="118">
        <v>3076410</v>
      </c>
      <c r="C108" s="21"/>
      <c r="D108" s="118">
        <v>-25380</v>
      </c>
      <c r="E108" s="118">
        <v>11040</v>
      </c>
      <c r="F108" s="118">
        <f t="shared" si="22"/>
        <v>3062070</v>
      </c>
      <c r="G108" s="118">
        <f>3002540+107990</f>
        <v>3110530</v>
      </c>
      <c r="H108" s="118">
        <f t="shared" si="18"/>
        <v>34120</v>
      </c>
      <c r="I108" s="159">
        <f t="shared" si="19"/>
        <v>1.1090849399137306E-2</v>
      </c>
      <c r="J108" s="118">
        <f t="shared" si="20"/>
        <v>48460</v>
      </c>
      <c r="K108" s="159">
        <f t="shared" si="21"/>
        <v>1.5825895554314566E-2</v>
      </c>
    </row>
    <row r="109" spans="1:11">
      <c r="A109" s="82" t="s">
        <v>77</v>
      </c>
      <c r="B109" s="118">
        <v>57500</v>
      </c>
      <c r="C109" s="21"/>
      <c r="D109" s="118">
        <v>-5500</v>
      </c>
      <c r="E109" s="118">
        <v>7000</v>
      </c>
      <c r="F109" s="118">
        <f t="shared" si="22"/>
        <v>59000</v>
      </c>
      <c r="G109" s="118">
        <v>53500</v>
      </c>
      <c r="H109" s="118">
        <f t="shared" si="18"/>
        <v>-4000</v>
      </c>
      <c r="I109" s="159">
        <f t="shared" si="19"/>
        <v>-6.9565217391304349E-2</v>
      </c>
      <c r="J109" s="118">
        <f t="shared" si="20"/>
        <v>-5500</v>
      </c>
      <c r="K109" s="159">
        <f t="shared" si="21"/>
        <v>-9.3220338983050849E-2</v>
      </c>
    </row>
    <row r="110" spans="1:11">
      <c r="A110" s="83" t="s">
        <v>72</v>
      </c>
      <c r="B110" s="112">
        <v>17650</v>
      </c>
      <c r="C110" s="21"/>
      <c r="D110" s="112">
        <v>860</v>
      </c>
      <c r="E110" s="112"/>
      <c r="F110" s="112">
        <f t="shared" si="22"/>
        <v>18510</v>
      </c>
      <c r="G110" s="112">
        <v>18340</v>
      </c>
      <c r="H110" s="112">
        <f t="shared" si="18"/>
        <v>690</v>
      </c>
      <c r="I110" s="186">
        <f t="shared" si="19"/>
        <v>3.9093484419263455E-2</v>
      </c>
      <c r="J110" s="112">
        <f t="shared" si="20"/>
        <v>-170</v>
      </c>
      <c r="K110" s="186">
        <f t="shared" si="21"/>
        <v>-9.1842247433819562E-3</v>
      </c>
    </row>
    <row r="111" spans="1:11">
      <c r="A111" s="83" t="s">
        <v>193</v>
      </c>
      <c r="B111" s="112">
        <v>87300</v>
      </c>
      <c r="C111" s="21"/>
      <c r="D111" s="112">
        <v>-27820</v>
      </c>
      <c r="E111" s="112">
        <v>1820</v>
      </c>
      <c r="F111" s="112">
        <f t="shared" si="22"/>
        <v>61300</v>
      </c>
      <c r="G111" s="112">
        <v>60350</v>
      </c>
      <c r="H111" s="112">
        <f t="shared" si="18"/>
        <v>-26950</v>
      </c>
      <c r="I111" s="186">
        <f t="shared" si="19"/>
        <v>-0.30870561282932418</v>
      </c>
      <c r="J111" s="112">
        <f t="shared" si="20"/>
        <v>-950</v>
      </c>
      <c r="K111" s="186">
        <f t="shared" si="21"/>
        <v>-1.5497553017944535E-2</v>
      </c>
    </row>
    <row r="112" spans="1:11">
      <c r="A112" s="697" t="s">
        <v>76</v>
      </c>
      <c r="B112" s="112"/>
      <c r="C112" s="21"/>
      <c r="D112" s="112"/>
      <c r="E112" s="112">
        <v>200</v>
      </c>
      <c r="F112" s="112">
        <f t="shared" si="22"/>
        <v>200</v>
      </c>
      <c r="G112" s="112"/>
      <c r="H112" s="112">
        <f t="shared" si="18"/>
        <v>0</v>
      </c>
      <c r="I112" s="186"/>
      <c r="J112" s="112">
        <f t="shared" si="20"/>
        <v>-200</v>
      </c>
      <c r="K112" s="186" t="str">
        <f t="shared" si="21"/>
        <v/>
      </c>
    </row>
    <row r="113" spans="1:11">
      <c r="A113" s="121" t="s">
        <v>202</v>
      </c>
      <c r="B113" s="80">
        <v>309300</v>
      </c>
      <c r="C113" s="21"/>
      <c r="D113" s="80">
        <v>-45340</v>
      </c>
      <c r="E113" s="80">
        <v>30430</v>
      </c>
      <c r="F113" s="112">
        <f t="shared" si="22"/>
        <v>294390</v>
      </c>
      <c r="G113" s="80">
        <f>290970+10000</f>
        <v>300970</v>
      </c>
      <c r="H113" s="80">
        <f t="shared" si="18"/>
        <v>-8330</v>
      </c>
      <c r="I113" s="91">
        <f t="shared" si="19"/>
        <v>-2.693178144196573E-2</v>
      </c>
      <c r="J113" s="80">
        <f t="shared" si="20"/>
        <v>6580</v>
      </c>
      <c r="K113" s="91">
        <f t="shared" si="21"/>
        <v>2.2351302693705628E-2</v>
      </c>
    </row>
    <row r="114" spans="1:11">
      <c r="A114" s="83" t="s">
        <v>180</v>
      </c>
      <c r="B114" s="112">
        <v>21300</v>
      </c>
      <c r="C114" s="21"/>
      <c r="D114" s="112"/>
      <c r="E114" s="112">
        <v>2830</v>
      </c>
      <c r="F114" s="112">
        <f t="shared" si="22"/>
        <v>24130</v>
      </c>
      <c r="G114" s="112">
        <v>21300</v>
      </c>
      <c r="H114" s="112">
        <f t="shared" si="18"/>
        <v>0</v>
      </c>
      <c r="I114" s="186">
        <f t="shared" si="19"/>
        <v>0</v>
      </c>
      <c r="J114" s="112">
        <f t="shared" si="20"/>
        <v>-2830</v>
      </c>
      <c r="K114" s="186">
        <f t="shared" si="21"/>
        <v>-0.11728139245752175</v>
      </c>
    </row>
    <row r="115" spans="1:11">
      <c r="A115" s="90" t="s">
        <v>51</v>
      </c>
      <c r="B115" s="81">
        <f t="shared" ref="B115" si="28">SUM(B116:B117)</f>
        <v>44650</v>
      </c>
      <c r="C115" s="81">
        <f t="shared" ref="C115:D115" si="29">SUM(C116:C117)</f>
        <v>0</v>
      </c>
      <c r="D115" s="81">
        <f t="shared" si="29"/>
        <v>10010</v>
      </c>
      <c r="E115" s="81">
        <f>E116+E117</f>
        <v>4750</v>
      </c>
      <c r="F115" s="81">
        <f t="shared" si="22"/>
        <v>59410</v>
      </c>
      <c r="G115" s="81">
        <f>G116+G117</f>
        <v>52650</v>
      </c>
      <c r="H115" s="81">
        <f t="shared" si="18"/>
        <v>8000</v>
      </c>
      <c r="I115" s="92">
        <f t="shared" si="19"/>
        <v>0.17917133258678611</v>
      </c>
      <c r="J115" s="81">
        <f t="shared" si="20"/>
        <v>-6760</v>
      </c>
      <c r="K115" s="92">
        <f t="shared" si="21"/>
        <v>-0.1137855579868709</v>
      </c>
    </row>
    <row r="116" spans="1:11">
      <c r="A116" s="82" t="s">
        <v>69</v>
      </c>
      <c r="B116" s="118">
        <v>19280</v>
      </c>
      <c r="C116" s="21"/>
      <c r="D116" s="118">
        <v>-640</v>
      </c>
      <c r="E116" s="118">
        <v>4750</v>
      </c>
      <c r="F116" s="118">
        <f t="shared" si="22"/>
        <v>23390</v>
      </c>
      <c r="G116" s="118">
        <v>20450</v>
      </c>
      <c r="H116" s="118">
        <f t="shared" si="18"/>
        <v>1170</v>
      </c>
      <c r="I116" s="159">
        <f t="shared" si="19"/>
        <v>6.0684647302904564E-2</v>
      </c>
      <c r="J116" s="118">
        <f t="shared" si="20"/>
        <v>-2940</v>
      </c>
      <c r="K116" s="159">
        <f t="shared" si="21"/>
        <v>-0.12569474134245404</v>
      </c>
    </row>
    <row r="117" spans="1:11">
      <c r="A117" s="82" t="s">
        <v>70</v>
      </c>
      <c r="B117" s="118">
        <v>25370</v>
      </c>
      <c r="C117" s="21"/>
      <c r="D117" s="118">
        <v>10650</v>
      </c>
      <c r="E117" s="118"/>
      <c r="F117" s="118">
        <f t="shared" si="22"/>
        <v>36020</v>
      </c>
      <c r="G117" s="118">
        <v>32200</v>
      </c>
      <c r="H117" s="118">
        <f t="shared" si="18"/>
        <v>6830</v>
      </c>
      <c r="I117" s="159">
        <f t="shared" si="19"/>
        <v>0.26921560898699254</v>
      </c>
      <c r="J117" s="118">
        <f t="shared" si="20"/>
        <v>-3820</v>
      </c>
      <c r="K117" s="159">
        <f t="shared" si="21"/>
        <v>-0.10605219322598557</v>
      </c>
    </row>
    <row r="118" spans="1:11">
      <c r="A118" s="83"/>
      <c r="B118" s="112"/>
      <c r="C118" s="21"/>
      <c r="D118" s="112"/>
      <c r="E118" s="112"/>
      <c r="F118" s="112">
        <f t="shared" si="22"/>
        <v>0</v>
      </c>
      <c r="G118" s="112"/>
      <c r="H118" s="112">
        <f t="shared" si="18"/>
        <v>0</v>
      </c>
      <c r="I118" s="186"/>
      <c r="J118" s="112">
        <f t="shared" si="20"/>
        <v>0</v>
      </c>
      <c r="K118" s="186" t="str">
        <f t="shared" si="21"/>
        <v/>
      </c>
    </row>
    <row r="119" spans="1:11">
      <c r="A119" s="111" t="s">
        <v>203</v>
      </c>
      <c r="B119" s="108">
        <f>B120+B123</f>
        <v>266820</v>
      </c>
      <c r="C119" s="21"/>
      <c r="D119" s="108">
        <f>D120+D123</f>
        <v>-106970</v>
      </c>
      <c r="E119" s="108">
        <f>E120+E123</f>
        <v>-14000</v>
      </c>
      <c r="F119" s="108">
        <f t="shared" si="22"/>
        <v>145850</v>
      </c>
      <c r="G119" s="108">
        <f>G120+G123</f>
        <v>178550</v>
      </c>
      <c r="H119" s="108">
        <f t="shared" si="18"/>
        <v>-88270</v>
      </c>
      <c r="I119" s="158">
        <f t="shared" si="19"/>
        <v>-0.33082227719061541</v>
      </c>
      <c r="J119" s="108">
        <f t="shared" si="20"/>
        <v>32700</v>
      </c>
      <c r="K119" s="158">
        <f t="shared" si="21"/>
        <v>0.2242029482344875</v>
      </c>
    </row>
    <row r="120" spans="1:11">
      <c r="A120" s="122" t="s">
        <v>54</v>
      </c>
      <c r="B120" s="81">
        <f>SUM(B121:B122)</f>
        <v>200200</v>
      </c>
      <c r="C120" s="21"/>
      <c r="D120" s="81">
        <f>SUM(D121:D122)</f>
        <v>-92740</v>
      </c>
      <c r="E120" s="81">
        <f>E121+E122</f>
        <v>-15000</v>
      </c>
      <c r="F120" s="81">
        <f t="shared" si="22"/>
        <v>92460</v>
      </c>
      <c r="G120" s="81">
        <f>G121+G122</f>
        <v>105000</v>
      </c>
      <c r="H120" s="81">
        <f t="shared" si="18"/>
        <v>-95200</v>
      </c>
      <c r="I120" s="92">
        <f t="shared" si="19"/>
        <v>-0.47552447552447552</v>
      </c>
      <c r="J120" s="81">
        <f t="shared" si="20"/>
        <v>12540</v>
      </c>
      <c r="K120" s="92">
        <f t="shared" si="21"/>
        <v>0.13562621674237507</v>
      </c>
    </row>
    <row r="121" spans="1:11">
      <c r="A121" s="82" t="s">
        <v>193</v>
      </c>
      <c r="B121" s="118">
        <v>93700</v>
      </c>
      <c r="C121" s="21"/>
      <c r="D121" s="118">
        <v>-36240</v>
      </c>
      <c r="E121" s="118">
        <v>-5000</v>
      </c>
      <c r="F121" s="118">
        <f t="shared" si="22"/>
        <v>52460</v>
      </c>
      <c r="G121" s="118">
        <v>50000</v>
      </c>
      <c r="H121" s="118">
        <f t="shared" si="18"/>
        <v>-43700</v>
      </c>
      <c r="I121" s="159">
        <f t="shared" si="19"/>
        <v>-0.46638207043756669</v>
      </c>
      <c r="J121" s="118">
        <f t="shared" si="20"/>
        <v>-2460</v>
      </c>
      <c r="K121" s="159">
        <f t="shared" si="21"/>
        <v>-4.6892870758673273E-2</v>
      </c>
    </row>
    <row r="122" spans="1:11">
      <c r="A122" s="82" t="s">
        <v>180</v>
      </c>
      <c r="B122" s="118">
        <v>106500</v>
      </c>
      <c r="C122" s="21"/>
      <c r="D122" s="118">
        <f>-6500-50000</f>
        <v>-56500</v>
      </c>
      <c r="E122" s="118">
        <v>-10000</v>
      </c>
      <c r="F122" s="118">
        <f t="shared" si="22"/>
        <v>40000</v>
      </c>
      <c r="G122" s="118">
        <v>55000</v>
      </c>
      <c r="H122" s="118">
        <f t="shared" si="18"/>
        <v>-51500</v>
      </c>
      <c r="I122" s="159">
        <f t="shared" si="19"/>
        <v>-0.48356807511737088</v>
      </c>
      <c r="J122" s="118">
        <f t="shared" si="20"/>
        <v>15000</v>
      </c>
      <c r="K122" s="159">
        <f t="shared" si="21"/>
        <v>0.375</v>
      </c>
    </row>
    <row r="123" spans="1:11">
      <c r="A123" s="111" t="s">
        <v>51</v>
      </c>
      <c r="B123" s="108">
        <f>SUM(B124:B125)</f>
        <v>66620</v>
      </c>
      <c r="C123" s="21"/>
      <c r="D123" s="108">
        <f>SUM(D124:D125)</f>
        <v>-14230</v>
      </c>
      <c r="E123" s="108">
        <f>E125</f>
        <v>1000</v>
      </c>
      <c r="F123" s="108">
        <f t="shared" si="22"/>
        <v>53390</v>
      </c>
      <c r="G123" s="108">
        <f>G124+G125</f>
        <v>73550</v>
      </c>
      <c r="H123" s="108">
        <f t="shared" si="18"/>
        <v>6930</v>
      </c>
      <c r="I123" s="158">
        <f t="shared" si="19"/>
        <v>0.10402281597117982</v>
      </c>
      <c r="J123" s="108">
        <f t="shared" si="20"/>
        <v>20160</v>
      </c>
      <c r="K123" s="158">
        <f t="shared" si="21"/>
        <v>0.37759880127364676</v>
      </c>
    </row>
    <row r="124" spans="1:11">
      <c r="A124" s="82" t="s">
        <v>69</v>
      </c>
      <c r="B124" s="118">
        <v>44620</v>
      </c>
      <c r="C124" s="21"/>
      <c r="D124" s="118">
        <f>-50-11370</f>
        <v>-11420</v>
      </c>
      <c r="E124" s="118"/>
      <c r="F124" s="118">
        <f t="shared" si="22"/>
        <v>33200</v>
      </c>
      <c r="G124" s="118">
        <v>46170</v>
      </c>
      <c r="H124" s="118">
        <f t="shared" si="18"/>
        <v>1550</v>
      </c>
      <c r="I124" s="159">
        <f t="shared" si="19"/>
        <v>3.4737785746302104E-2</v>
      </c>
      <c r="J124" s="118">
        <f t="shared" si="20"/>
        <v>12970</v>
      </c>
      <c r="K124" s="159">
        <f t="shared" si="21"/>
        <v>0.39066265060240962</v>
      </c>
    </row>
    <row r="125" spans="1:11">
      <c r="A125" s="82" t="s">
        <v>70</v>
      </c>
      <c r="B125" s="118">
        <v>22000</v>
      </c>
      <c r="C125" s="21"/>
      <c r="D125" s="118">
        <v>-2810</v>
      </c>
      <c r="E125" s="118">
        <v>1000</v>
      </c>
      <c r="F125" s="118">
        <f t="shared" si="22"/>
        <v>20190</v>
      </c>
      <c r="G125" s="118">
        <v>27380</v>
      </c>
      <c r="H125" s="118">
        <f t="shared" si="18"/>
        <v>5380</v>
      </c>
      <c r="I125" s="159">
        <f t="shared" si="19"/>
        <v>0.24454545454545454</v>
      </c>
      <c r="J125" s="118">
        <f t="shared" si="20"/>
        <v>7190</v>
      </c>
      <c r="K125" s="159">
        <f t="shared" si="21"/>
        <v>0.35611688954928183</v>
      </c>
    </row>
    <row r="126" spans="1:11">
      <c r="A126" s="82"/>
      <c r="B126" s="118"/>
      <c r="C126" s="21"/>
      <c r="D126" s="118"/>
      <c r="E126" s="118"/>
      <c r="F126" s="118">
        <f t="shared" si="22"/>
        <v>0</v>
      </c>
      <c r="G126" s="253"/>
      <c r="H126" s="118">
        <f t="shared" si="18"/>
        <v>0</v>
      </c>
      <c r="I126" s="159"/>
      <c r="J126" s="118">
        <f t="shared" si="20"/>
        <v>0</v>
      </c>
      <c r="K126" s="159" t="str">
        <f t="shared" si="21"/>
        <v/>
      </c>
    </row>
    <row r="127" spans="1:11">
      <c r="A127" s="106" t="s">
        <v>588</v>
      </c>
      <c r="B127" s="107">
        <f>B129+B140+B151+B160+B166+B177+B186+B195+B205+B216+B240+B251+B262+B266+B229</f>
        <v>9431620</v>
      </c>
      <c r="C127" s="107">
        <f>C129+C140+C151+C160+C166+C177+C186+C195+C205+C216+C240+C251+C262+C266+C229</f>
        <v>0</v>
      </c>
      <c r="D127" s="107">
        <f>D129+D140+D151+D160+D166+D177+D186+D195+D205+D216+D240+D251+D262+D266+D229</f>
        <v>103880</v>
      </c>
      <c r="E127" s="107">
        <f>E129+E140+E151+E160+E166+E177+E186+E195+E205+E216+E240+E251+E262+E266+E229</f>
        <v>-252150</v>
      </c>
      <c r="F127" s="107">
        <f t="shared" si="22"/>
        <v>9283350</v>
      </c>
      <c r="G127" s="107">
        <f>G129+G140+G151+G160+G166+G177+G186+G195+G205+G216+G240+G251+G262+G266+G229</f>
        <v>9865285</v>
      </c>
      <c r="H127" s="107">
        <f t="shared" si="18"/>
        <v>433665</v>
      </c>
      <c r="I127" s="156">
        <f t="shared" si="19"/>
        <v>4.5979905891034629E-2</v>
      </c>
      <c r="J127" s="107">
        <f t="shared" si="20"/>
        <v>581935</v>
      </c>
      <c r="K127" s="156">
        <f t="shared" si="21"/>
        <v>6.2685883867353923E-2</v>
      </c>
    </row>
    <row r="128" spans="1:11">
      <c r="A128" s="109"/>
      <c r="B128" s="110"/>
      <c r="C128" s="21"/>
      <c r="D128" s="110"/>
      <c r="E128" s="110"/>
      <c r="F128" s="110">
        <f t="shared" si="22"/>
        <v>0</v>
      </c>
      <c r="G128" s="256"/>
      <c r="H128" s="110">
        <f t="shared" si="18"/>
        <v>0</v>
      </c>
      <c r="I128" s="188"/>
      <c r="J128" s="110">
        <f t="shared" si="20"/>
        <v>0</v>
      </c>
      <c r="K128" s="188" t="str">
        <f t="shared" si="21"/>
        <v/>
      </c>
    </row>
    <row r="129" spans="1:11">
      <c r="A129" s="111" t="s">
        <v>589</v>
      </c>
      <c r="B129" s="108">
        <f>B130+B134+B137+B132</f>
        <v>162000</v>
      </c>
      <c r="C129" s="21"/>
      <c r="D129" s="108"/>
      <c r="E129" s="108">
        <f>E130+E134+E137+E132</f>
        <v>-45000</v>
      </c>
      <c r="F129" s="108">
        <f t="shared" si="22"/>
        <v>117000</v>
      </c>
      <c r="G129" s="108">
        <f>G130+G134+G137+G132</f>
        <v>167000</v>
      </c>
      <c r="H129" s="108">
        <f t="shared" si="18"/>
        <v>5000</v>
      </c>
      <c r="I129" s="158">
        <f t="shared" si="19"/>
        <v>3.0864197530864196E-2</v>
      </c>
      <c r="J129" s="108">
        <f t="shared" si="20"/>
        <v>50000</v>
      </c>
      <c r="K129" s="158">
        <f t="shared" si="21"/>
        <v>0.42735042735042733</v>
      </c>
    </row>
    <row r="130" spans="1:11">
      <c r="A130" s="111" t="s">
        <v>55</v>
      </c>
      <c r="B130" s="108">
        <f t="shared" ref="B130" si="30">B131</f>
        <v>1000</v>
      </c>
      <c r="C130" s="21"/>
      <c r="D130" s="108"/>
      <c r="E130" s="108">
        <f t="shared" ref="E130:G130" si="31">E131</f>
        <v>0</v>
      </c>
      <c r="F130" s="108">
        <f t="shared" si="22"/>
        <v>1000</v>
      </c>
      <c r="G130" s="108">
        <f t="shared" si="31"/>
        <v>1000</v>
      </c>
      <c r="H130" s="108">
        <f t="shared" ref="H130:H192" si="32">G130-B130</f>
        <v>0</v>
      </c>
      <c r="I130" s="158">
        <f t="shared" ref="I130:I192" si="33">H130/B130</f>
        <v>0</v>
      </c>
      <c r="J130" s="108">
        <f t="shared" ref="J130:J192" si="34">G130-F130</f>
        <v>0</v>
      </c>
      <c r="K130" s="158">
        <f t="shared" ref="K130:K192" si="35">IF(G130=0,"",J130/F130)</f>
        <v>0</v>
      </c>
    </row>
    <row r="131" spans="1:11">
      <c r="A131" s="82" t="s">
        <v>80</v>
      </c>
      <c r="B131" s="118">
        <v>1000</v>
      </c>
      <c r="C131" s="21"/>
      <c r="D131" s="118"/>
      <c r="E131" s="118"/>
      <c r="F131" s="118">
        <f t="shared" si="22"/>
        <v>1000</v>
      </c>
      <c r="G131" s="118">
        <v>1000</v>
      </c>
      <c r="H131" s="118">
        <f t="shared" si="32"/>
        <v>0</v>
      </c>
      <c r="I131" s="159">
        <f t="shared" si="33"/>
        <v>0</v>
      </c>
      <c r="J131" s="118">
        <f t="shared" si="34"/>
        <v>0</v>
      </c>
      <c r="K131" s="159">
        <f t="shared" si="35"/>
        <v>0</v>
      </c>
    </row>
    <row r="132" spans="1:11">
      <c r="A132" s="115" t="s">
        <v>56</v>
      </c>
      <c r="B132" s="164">
        <f>B133</f>
        <v>6000</v>
      </c>
      <c r="C132" s="21"/>
      <c r="D132" s="164"/>
      <c r="E132" s="164">
        <f>E133</f>
        <v>3000</v>
      </c>
      <c r="F132" s="164">
        <f t="shared" si="22"/>
        <v>9000</v>
      </c>
      <c r="G132" s="164">
        <f>G133</f>
        <v>0</v>
      </c>
      <c r="H132" s="164">
        <f t="shared" si="32"/>
        <v>-6000</v>
      </c>
      <c r="I132" s="157">
        <f t="shared" si="33"/>
        <v>-1</v>
      </c>
      <c r="J132" s="164">
        <f t="shared" si="34"/>
        <v>-9000</v>
      </c>
      <c r="K132" s="157" t="str">
        <f t="shared" si="35"/>
        <v/>
      </c>
    </row>
    <row r="133" spans="1:11">
      <c r="A133" s="165" t="s">
        <v>85</v>
      </c>
      <c r="B133" s="166">
        <v>6000</v>
      </c>
      <c r="C133" s="21"/>
      <c r="D133" s="166"/>
      <c r="E133" s="166">
        <v>3000</v>
      </c>
      <c r="F133" s="166">
        <f t="shared" si="22"/>
        <v>9000</v>
      </c>
      <c r="G133" s="166"/>
      <c r="H133" s="166">
        <f t="shared" si="32"/>
        <v>-6000</v>
      </c>
      <c r="I133" s="91">
        <f t="shared" si="33"/>
        <v>-1</v>
      </c>
      <c r="J133" s="166">
        <f t="shared" si="34"/>
        <v>-9000</v>
      </c>
      <c r="K133" s="91" t="str">
        <f t="shared" si="35"/>
        <v/>
      </c>
    </row>
    <row r="134" spans="1:11">
      <c r="A134" s="111" t="s">
        <v>51</v>
      </c>
      <c r="B134" s="108">
        <f t="shared" ref="B134" si="36">SUM(B135:B136)</f>
        <v>105000</v>
      </c>
      <c r="C134" s="21"/>
      <c r="D134" s="108"/>
      <c r="E134" s="108">
        <f t="shared" ref="E134:G134" si="37">SUM(E135:E136)</f>
        <v>-13000</v>
      </c>
      <c r="F134" s="108">
        <f t="shared" si="22"/>
        <v>92000</v>
      </c>
      <c r="G134" s="108">
        <f t="shared" si="37"/>
        <v>116000</v>
      </c>
      <c r="H134" s="108">
        <f t="shared" si="32"/>
        <v>11000</v>
      </c>
      <c r="I134" s="158">
        <f t="shared" si="33"/>
        <v>0.10476190476190476</v>
      </c>
      <c r="J134" s="108">
        <f t="shared" si="34"/>
        <v>24000</v>
      </c>
      <c r="K134" s="158">
        <f t="shared" si="35"/>
        <v>0.2608695652173913</v>
      </c>
    </row>
    <row r="135" spans="1:11">
      <c r="A135" s="82" t="s">
        <v>69</v>
      </c>
      <c r="B135" s="118">
        <v>84400</v>
      </c>
      <c r="C135" s="21"/>
      <c r="D135" s="118"/>
      <c r="E135" s="118">
        <v>-13000</v>
      </c>
      <c r="F135" s="118">
        <f t="shared" ref="F135:F198" si="38">SUM(B135:E135)</f>
        <v>71400</v>
      </c>
      <c r="G135" s="118">
        <v>91000</v>
      </c>
      <c r="H135" s="118">
        <f t="shared" si="32"/>
        <v>6600</v>
      </c>
      <c r="I135" s="159">
        <f t="shared" si="33"/>
        <v>7.8199052132701424E-2</v>
      </c>
      <c r="J135" s="118">
        <f t="shared" si="34"/>
        <v>19600</v>
      </c>
      <c r="K135" s="159">
        <f t="shared" si="35"/>
        <v>0.27450980392156865</v>
      </c>
    </row>
    <row r="136" spans="1:11">
      <c r="A136" s="82" t="s">
        <v>70</v>
      </c>
      <c r="B136" s="118">
        <v>20600</v>
      </c>
      <c r="C136" s="21"/>
      <c r="D136" s="118"/>
      <c r="E136" s="118"/>
      <c r="F136" s="118">
        <f t="shared" si="38"/>
        <v>20600</v>
      </c>
      <c r="G136" s="118">
        <v>25000</v>
      </c>
      <c r="H136" s="118">
        <f t="shared" si="32"/>
        <v>4400</v>
      </c>
      <c r="I136" s="159">
        <f t="shared" si="33"/>
        <v>0.21359223300970873</v>
      </c>
      <c r="J136" s="118">
        <f t="shared" si="34"/>
        <v>4400</v>
      </c>
      <c r="K136" s="159">
        <f t="shared" si="35"/>
        <v>0.21359223300970873</v>
      </c>
    </row>
    <row r="137" spans="1:11">
      <c r="A137" s="111" t="s">
        <v>52</v>
      </c>
      <c r="B137" s="108">
        <f>B138</f>
        <v>50000</v>
      </c>
      <c r="C137" s="21"/>
      <c r="D137" s="108"/>
      <c r="E137" s="108">
        <f>E138</f>
        <v>-35000</v>
      </c>
      <c r="F137" s="108">
        <f t="shared" si="38"/>
        <v>15000</v>
      </c>
      <c r="G137" s="108">
        <f>G138</f>
        <v>50000</v>
      </c>
      <c r="H137" s="108">
        <f t="shared" si="32"/>
        <v>0</v>
      </c>
      <c r="I137" s="158">
        <f t="shared" si="33"/>
        <v>0</v>
      </c>
      <c r="J137" s="108">
        <f t="shared" si="34"/>
        <v>35000</v>
      </c>
      <c r="K137" s="158">
        <f t="shared" si="35"/>
        <v>2.3333333333333335</v>
      </c>
    </row>
    <row r="138" spans="1:11">
      <c r="A138" s="82" t="s">
        <v>81</v>
      </c>
      <c r="B138" s="118">
        <v>50000</v>
      </c>
      <c r="C138" s="21"/>
      <c r="D138" s="118"/>
      <c r="E138" s="118">
        <v>-35000</v>
      </c>
      <c r="F138" s="118">
        <f t="shared" si="38"/>
        <v>15000</v>
      </c>
      <c r="G138" s="118">
        <v>50000</v>
      </c>
      <c r="H138" s="118">
        <f t="shared" si="32"/>
        <v>0</v>
      </c>
      <c r="I138" s="159">
        <f t="shared" si="33"/>
        <v>0</v>
      </c>
      <c r="J138" s="118">
        <f t="shared" si="34"/>
        <v>35000</v>
      </c>
      <c r="K138" s="159">
        <f t="shared" si="35"/>
        <v>2.3333333333333335</v>
      </c>
    </row>
    <row r="139" spans="1:11">
      <c r="A139" s="113"/>
      <c r="B139" s="114"/>
      <c r="C139" s="21"/>
      <c r="D139" s="114"/>
      <c r="E139" s="114"/>
      <c r="F139" s="114">
        <f t="shared" si="38"/>
        <v>0</v>
      </c>
      <c r="G139" s="114"/>
      <c r="H139" s="114">
        <f t="shared" si="32"/>
        <v>0</v>
      </c>
      <c r="I139" s="190"/>
      <c r="J139" s="114">
        <f t="shared" si="34"/>
        <v>0</v>
      </c>
      <c r="K139" s="190" t="str">
        <f t="shared" si="35"/>
        <v/>
      </c>
    </row>
    <row r="140" spans="1:11">
      <c r="A140" s="111" t="s">
        <v>204</v>
      </c>
      <c r="B140" s="108">
        <f>B141+B145+B148</f>
        <v>152000</v>
      </c>
      <c r="C140" s="108">
        <f t="shared" ref="C140:D140" si="39">C141+C145+C148</f>
        <v>0</v>
      </c>
      <c r="D140" s="108">
        <f t="shared" si="39"/>
        <v>500</v>
      </c>
      <c r="E140" s="108">
        <f>E141+E145+E148</f>
        <v>6000</v>
      </c>
      <c r="F140" s="108">
        <f t="shared" si="38"/>
        <v>158500</v>
      </c>
      <c r="G140" s="108">
        <f>G141+G145+G148</f>
        <v>152000</v>
      </c>
      <c r="H140" s="108">
        <f t="shared" si="32"/>
        <v>0</v>
      </c>
      <c r="I140" s="158">
        <f t="shared" si="33"/>
        <v>0</v>
      </c>
      <c r="J140" s="108">
        <f t="shared" si="34"/>
        <v>-6500</v>
      </c>
      <c r="K140" s="158">
        <f t="shared" si="35"/>
        <v>-4.1009463722397478E-2</v>
      </c>
    </row>
    <row r="141" spans="1:11">
      <c r="A141" s="111" t="s">
        <v>55</v>
      </c>
      <c r="B141" s="108">
        <f>SUM(B142:B144)</f>
        <v>121300</v>
      </c>
      <c r="C141" s="21"/>
      <c r="D141" s="108"/>
      <c r="E141" s="108"/>
      <c r="F141" s="108">
        <f t="shared" si="38"/>
        <v>121300</v>
      </c>
      <c r="G141" s="108">
        <f>SUM(G142:G144)</f>
        <v>120300</v>
      </c>
      <c r="H141" s="108">
        <f t="shared" si="32"/>
        <v>-1000</v>
      </c>
      <c r="I141" s="158">
        <f t="shared" si="33"/>
        <v>-8.2440230832646327E-3</v>
      </c>
      <c r="J141" s="108">
        <f t="shared" si="34"/>
        <v>-1000</v>
      </c>
      <c r="K141" s="158">
        <f t="shared" si="35"/>
        <v>-8.2440230832646327E-3</v>
      </c>
    </row>
    <row r="142" spans="1:11">
      <c r="A142" s="83" t="s">
        <v>72</v>
      </c>
      <c r="B142" s="112">
        <v>114300</v>
      </c>
      <c r="C142" s="21"/>
      <c r="D142" s="112"/>
      <c r="E142" s="112"/>
      <c r="F142" s="112">
        <f t="shared" si="38"/>
        <v>114300</v>
      </c>
      <c r="G142" s="112">
        <v>113300</v>
      </c>
      <c r="H142" s="112">
        <f t="shared" si="32"/>
        <v>-1000</v>
      </c>
      <c r="I142" s="186">
        <f t="shared" si="33"/>
        <v>-8.7489063867016627E-3</v>
      </c>
      <c r="J142" s="112">
        <f t="shared" si="34"/>
        <v>-1000</v>
      </c>
      <c r="K142" s="186">
        <f t="shared" si="35"/>
        <v>-8.7489063867016627E-3</v>
      </c>
    </row>
    <row r="143" spans="1:11">
      <c r="A143" s="83" t="s">
        <v>82</v>
      </c>
      <c r="B143" s="112">
        <v>6500</v>
      </c>
      <c r="C143" s="21"/>
      <c r="D143" s="112"/>
      <c r="E143" s="112"/>
      <c r="F143" s="112">
        <f t="shared" si="38"/>
        <v>6500</v>
      </c>
      <c r="G143" s="112">
        <v>7000</v>
      </c>
      <c r="H143" s="112">
        <f t="shared" si="32"/>
        <v>500</v>
      </c>
      <c r="I143" s="186">
        <f t="shared" si="33"/>
        <v>7.6923076923076927E-2</v>
      </c>
      <c r="J143" s="112">
        <f t="shared" si="34"/>
        <v>500</v>
      </c>
      <c r="K143" s="186">
        <f t="shared" si="35"/>
        <v>7.6923076923076927E-2</v>
      </c>
    </row>
    <row r="144" spans="1:11">
      <c r="A144" s="83" t="s">
        <v>76</v>
      </c>
      <c r="B144" s="112">
        <v>500</v>
      </c>
      <c r="C144" s="21"/>
      <c r="D144" s="112"/>
      <c r="E144" s="112"/>
      <c r="F144" s="112">
        <f t="shared" si="38"/>
        <v>500</v>
      </c>
      <c r="G144" s="112"/>
      <c r="H144" s="112">
        <f t="shared" si="32"/>
        <v>-500</v>
      </c>
      <c r="I144" s="186">
        <f t="shared" si="33"/>
        <v>-1</v>
      </c>
      <c r="J144" s="112">
        <f t="shared" si="34"/>
        <v>-500</v>
      </c>
      <c r="K144" s="186" t="str">
        <f t="shared" si="35"/>
        <v/>
      </c>
    </row>
    <row r="145" spans="1:11">
      <c r="A145" s="111" t="s">
        <v>51</v>
      </c>
      <c r="B145" s="108">
        <f t="shared" ref="B145" si="40">B147</f>
        <v>29000</v>
      </c>
      <c r="C145" s="108">
        <f t="shared" ref="C145:D145" si="41">C147+C146</f>
        <v>0</v>
      </c>
      <c r="D145" s="108">
        <f t="shared" si="41"/>
        <v>500</v>
      </c>
      <c r="E145" s="108">
        <f>E147+E146</f>
        <v>6000</v>
      </c>
      <c r="F145" s="108">
        <f t="shared" si="38"/>
        <v>35500</v>
      </c>
      <c r="G145" s="108">
        <f>G147+G146</f>
        <v>30700</v>
      </c>
      <c r="H145" s="108">
        <f t="shared" si="32"/>
        <v>1700</v>
      </c>
      <c r="I145" s="158">
        <f t="shared" si="33"/>
        <v>5.8620689655172413E-2</v>
      </c>
      <c r="J145" s="108">
        <f t="shared" si="34"/>
        <v>-4800</v>
      </c>
      <c r="K145" s="158">
        <f t="shared" si="35"/>
        <v>-0.13521126760563379</v>
      </c>
    </row>
    <row r="146" spans="1:11">
      <c r="A146" s="165" t="s">
        <v>69</v>
      </c>
      <c r="B146" s="108"/>
      <c r="C146" s="21"/>
      <c r="D146" s="108">
        <v>500</v>
      </c>
      <c r="E146" s="108"/>
      <c r="F146" s="108">
        <f t="shared" si="38"/>
        <v>500</v>
      </c>
      <c r="G146" s="108">
        <v>700</v>
      </c>
      <c r="H146" s="108">
        <f t="shared" si="32"/>
        <v>700</v>
      </c>
      <c r="I146" s="158"/>
      <c r="J146" s="108">
        <f t="shared" si="34"/>
        <v>200</v>
      </c>
      <c r="K146" s="158">
        <f t="shared" si="35"/>
        <v>0.4</v>
      </c>
    </row>
    <row r="147" spans="1:11">
      <c r="A147" s="82" t="s">
        <v>70</v>
      </c>
      <c r="B147" s="118">
        <v>29000</v>
      </c>
      <c r="C147" s="21"/>
      <c r="D147" s="118"/>
      <c r="E147" s="118">
        <v>6000</v>
      </c>
      <c r="F147" s="118">
        <f t="shared" si="38"/>
        <v>35000</v>
      </c>
      <c r="G147" s="118">
        <v>30000</v>
      </c>
      <c r="H147" s="118">
        <f t="shared" si="32"/>
        <v>1000</v>
      </c>
      <c r="I147" s="159">
        <f t="shared" si="33"/>
        <v>3.4482758620689655E-2</v>
      </c>
      <c r="J147" s="118">
        <f t="shared" si="34"/>
        <v>-5000</v>
      </c>
      <c r="K147" s="159">
        <f t="shared" si="35"/>
        <v>-0.14285714285714285</v>
      </c>
    </row>
    <row r="148" spans="1:11">
      <c r="A148" s="111" t="s">
        <v>52</v>
      </c>
      <c r="B148" s="108">
        <f>B149</f>
        <v>1700</v>
      </c>
      <c r="C148" s="21"/>
      <c r="D148" s="108"/>
      <c r="E148" s="108"/>
      <c r="F148" s="108">
        <f t="shared" si="38"/>
        <v>1700</v>
      </c>
      <c r="G148" s="108">
        <f>G149</f>
        <v>1000</v>
      </c>
      <c r="H148" s="108">
        <f t="shared" si="32"/>
        <v>-700</v>
      </c>
      <c r="I148" s="158">
        <f t="shared" si="33"/>
        <v>-0.41176470588235292</v>
      </c>
      <c r="J148" s="108">
        <f t="shared" si="34"/>
        <v>-700</v>
      </c>
      <c r="K148" s="158">
        <f t="shared" si="35"/>
        <v>-0.41176470588235292</v>
      </c>
    </row>
    <row r="149" spans="1:11" ht="26.4">
      <c r="A149" s="83" t="s">
        <v>71</v>
      </c>
      <c r="B149" s="112">
        <v>1700</v>
      </c>
      <c r="C149" s="21"/>
      <c r="D149" s="112"/>
      <c r="E149" s="112"/>
      <c r="F149" s="112">
        <f t="shared" si="38"/>
        <v>1700</v>
      </c>
      <c r="G149" s="112">
        <v>1000</v>
      </c>
      <c r="H149" s="112">
        <f t="shared" si="32"/>
        <v>-700</v>
      </c>
      <c r="I149" s="186">
        <f t="shared" si="33"/>
        <v>-0.41176470588235292</v>
      </c>
      <c r="J149" s="112">
        <f t="shared" si="34"/>
        <v>-700</v>
      </c>
      <c r="K149" s="186">
        <f t="shared" si="35"/>
        <v>-0.41176470588235292</v>
      </c>
    </row>
    <row r="150" spans="1:11">
      <c r="A150" s="83"/>
      <c r="B150" s="112"/>
      <c r="C150" s="21"/>
      <c r="D150" s="112"/>
      <c r="E150" s="112"/>
      <c r="F150" s="112">
        <f t="shared" si="38"/>
        <v>0</v>
      </c>
      <c r="G150" s="171"/>
      <c r="H150" s="112">
        <f t="shared" si="32"/>
        <v>0</v>
      </c>
      <c r="I150" s="186"/>
      <c r="J150" s="112">
        <f t="shared" si="34"/>
        <v>0</v>
      </c>
      <c r="K150" s="186" t="str">
        <f t="shared" si="35"/>
        <v/>
      </c>
    </row>
    <row r="151" spans="1:11">
      <c r="A151" s="111" t="s">
        <v>441</v>
      </c>
      <c r="B151" s="108">
        <f>B152+B156</f>
        <v>590000</v>
      </c>
      <c r="C151" s="108">
        <f t="shared" ref="C151:D151" si="42">C152+C156</f>
        <v>0</v>
      </c>
      <c r="D151" s="108">
        <f t="shared" si="42"/>
        <v>-8780</v>
      </c>
      <c r="E151" s="108">
        <f>E152+E156</f>
        <v>0</v>
      </c>
      <c r="F151" s="108">
        <f t="shared" si="38"/>
        <v>581220</v>
      </c>
      <c r="G151" s="108">
        <f>G152+G156</f>
        <v>590000</v>
      </c>
      <c r="H151" s="108">
        <f t="shared" si="32"/>
        <v>0</v>
      </c>
      <c r="I151" s="158">
        <f t="shared" si="33"/>
        <v>0</v>
      </c>
      <c r="J151" s="108">
        <f t="shared" si="34"/>
        <v>8780</v>
      </c>
      <c r="K151" s="158">
        <f t="shared" si="35"/>
        <v>1.5106156016654623E-2</v>
      </c>
    </row>
    <row r="152" spans="1:11">
      <c r="A152" s="111" t="s">
        <v>55</v>
      </c>
      <c r="B152" s="108">
        <f>SUM(B153:B155)</f>
        <v>535600</v>
      </c>
      <c r="C152" s="21"/>
      <c r="D152" s="108"/>
      <c r="E152" s="108">
        <f>SUM(E153:E155)</f>
        <v>10400</v>
      </c>
      <c r="F152" s="108">
        <f t="shared" si="38"/>
        <v>546000</v>
      </c>
      <c r="G152" s="108">
        <f>SUM(G153:G155)</f>
        <v>549250</v>
      </c>
      <c r="H152" s="108">
        <f t="shared" si="32"/>
        <v>13650</v>
      </c>
      <c r="I152" s="158">
        <f t="shared" si="33"/>
        <v>2.5485436893203883E-2</v>
      </c>
      <c r="J152" s="108">
        <f t="shared" si="34"/>
        <v>3250</v>
      </c>
      <c r="K152" s="158">
        <f t="shared" si="35"/>
        <v>5.9523809523809521E-3</v>
      </c>
    </row>
    <row r="153" spans="1:11">
      <c r="A153" s="82" t="s">
        <v>77</v>
      </c>
      <c r="B153" s="118">
        <v>410600</v>
      </c>
      <c r="C153" s="21"/>
      <c r="D153" s="118"/>
      <c r="E153" s="118">
        <v>30400</v>
      </c>
      <c r="F153" s="118">
        <f t="shared" si="38"/>
        <v>441000</v>
      </c>
      <c r="G153" s="118">
        <v>422250</v>
      </c>
      <c r="H153" s="118">
        <f t="shared" si="32"/>
        <v>11650</v>
      </c>
      <c r="I153" s="159">
        <f t="shared" si="33"/>
        <v>2.8373112518265953E-2</v>
      </c>
      <c r="J153" s="118">
        <f t="shared" si="34"/>
        <v>-18750</v>
      </c>
      <c r="K153" s="159">
        <f t="shared" si="35"/>
        <v>-4.2517006802721087E-2</v>
      </c>
    </row>
    <row r="154" spans="1:11">
      <c r="A154" s="83" t="s">
        <v>72</v>
      </c>
      <c r="B154" s="112">
        <v>110000</v>
      </c>
      <c r="C154" s="21"/>
      <c r="D154" s="112"/>
      <c r="E154" s="112">
        <v>-20000</v>
      </c>
      <c r="F154" s="112">
        <f t="shared" si="38"/>
        <v>90000</v>
      </c>
      <c r="G154" s="112">
        <v>110000</v>
      </c>
      <c r="H154" s="112">
        <f t="shared" si="32"/>
        <v>0</v>
      </c>
      <c r="I154" s="186">
        <f t="shared" si="33"/>
        <v>0</v>
      </c>
      <c r="J154" s="112">
        <f t="shared" si="34"/>
        <v>20000</v>
      </c>
      <c r="K154" s="186">
        <f t="shared" si="35"/>
        <v>0.22222222222222221</v>
      </c>
    </row>
    <row r="155" spans="1:11">
      <c r="A155" s="83" t="s">
        <v>82</v>
      </c>
      <c r="B155" s="112">
        <v>15000</v>
      </c>
      <c r="C155" s="21"/>
      <c r="D155" s="112"/>
      <c r="E155" s="112"/>
      <c r="F155" s="112">
        <f t="shared" si="38"/>
        <v>15000</v>
      </c>
      <c r="G155" s="112">
        <v>17000</v>
      </c>
      <c r="H155" s="112">
        <f t="shared" si="32"/>
        <v>2000</v>
      </c>
      <c r="I155" s="186">
        <f t="shared" si="33"/>
        <v>0.13333333333333333</v>
      </c>
      <c r="J155" s="112">
        <f t="shared" si="34"/>
        <v>2000</v>
      </c>
      <c r="K155" s="186">
        <f t="shared" si="35"/>
        <v>0.13333333333333333</v>
      </c>
    </row>
    <row r="156" spans="1:11">
      <c r="A156" s="111" t="s">
        <v>51</v>
      </c>
      <c r="B156" s="108">
        <f>SUM(B157:B158)</f>
        <v>54400</v>
      </c>
      <c r="C156" s="108">
        <f t="shared" ref="C156:D156" si="43">SUM(C157:C158)</f>
        <v>0</v>
      </c>
      <c r="D156" s="108">
        <f t="shared" si="43"/>
        <v>-8780</v>
      </c>
      <c r="E156" s="108">
        <f>SUM(E157:E158)</f>
        <v>-10400</v>
      </c>
      <c r="F156" s="108">
        <f t="shared" si="38"/>
        <v>35220</v>
      </c>
      <c r="G156" s="108">
        <f>SUM(G157:G158)</f>
        <v>40750</v>
      </c>
      <c r="H156" s="108">
        <f t="shared" si="32"/>
        <v>-13650</v>
      </c>
      <c r="I156" s="158">
        <f t="shared" si="33"/>
        <v>-0.25091911764705882</v>
      </c>
      <c r="J156" s="108">
        <f t="shared" si="34"/>
        <v>5530</v>
      </c>
      <c r="K156" s="158">
        <f t="shared" si="35"/>
        <v>0.1570130607609313</v>
      </c>
    </row>
    <row r="157" spans="1:11">
      <c r="A157" s="82" t="s">
        <v>69</v>
      </c>
      <c r="B157" s="118">
        <v>28000</v>
      </c>
      <c r="C157" s="21"/>
      <c r="D157" s="118">
        <v>-8780</v>
      </c>
      <c r="E157" s="118">
        <v>-2520</v>
      </c>
      <c r="F157" s="118">
        <f t="shared" si="38"/>
        <v>16700</v>
      </c>
      <c r="G157" s="118">
        <v>22750</v>
      </c>
      <c r="H157" s="118">
        <f t="shared" si="32"/>
        <v>-5250</v>
      </c>
      <c r="I157" s="159">
        <f t="shared" si="33"/>
        <v>-0.1875</v>
      </c>
      <c r="J157" s="118">
        <f t="shared" si="34"/>
        <v>6050</v>
      </c>
      <c r="K157" s="159">
        <f t="shared" si="35"/>
        <v>0.36227544910179643</v>
      </c>
    </row>
    <row r="158" spans="1:11">
      <c r="A158" s="82" t="s">
        <v>70</v>
      </c>
      <c r="B158" s="118">
        <v>26400</v>
      </c>
      <c r="C158" s="21"/>
      <c r="D158" s="118"/>
      <c r="E158" s="118">
        <v>-7880</v>
      </c>
      <c r="F158" s="118">
        <f t="shared" si="38"/>
        <v>18520</v>
      </c>
      <c r="G158" s="118">
        <v>18000</v>
      </c>
      <c r="H158" s="118">
        <f t="shared" si="32"/>
        <v>-8400</v>
      </c>
      <c r="I158" s="159">
        <f t="shared" si="33"/>
        <v>-0.31818181818181818</v>
      </c>
      <c r="J158" s="118">
        <f t="shared" si="34"/>
        <v>-520</v>
      </c>
      <c r="K158" s="159">
        <f t="shared" si="35"/>
        <v>-2.8077753779697623E-2</v>
      </c>
    </row>
    <row r="159" spans="1:11">
      <c r="A159" s="82"/>
      <c r="B159" s="118"/>
      <c r="C159" s="21"/>
      <c r="D159" s="118"/>
      <c r="E159" s="118"/>
      <c r="F159" s="118">
        <f t="shared" si="38"/>
        <v>0</v>
      </c>
      <c r="G159" s="253"/>
      <c r="H159" s="118">
        <f t="shared" si="32"/>
        <v>0</v>
      </c>
      <c r="I159" s="159"/>
      <c r="J159" s="118">
        <f t="shared" si="34"/>
        <v>0</v>
      </c>
      <c r="K159" s="159" t="str">
        <f t="shared" si="35"/>
        <v/>
      </c>
    </row>
    <row r="160" spans="1:11">
      <c r="A160" s="111" t="s">
        <v>442</v>
      </c>
      <c r="B160" s="108">
        <f>SUM(B161)</f>
        <v>30000</v>
      </c>
      <c r="C160" s="21"/>
      <c r="D160" s="108"/>
      <c r="E160" s="108"/>
      <c r="F160" s="108">
        <f t="shared" si="38"/>
        <v>30000</v>
      </c>
      <c r="G160" s="108">
        <f>SUM(G161)</f>
        <v>31000</v>
      </c>
      <c r="H160" s="108">
        <f t="shared" si="32"/>
        <v>1000</v>
      </c>
      <c r="I160" s="158">
        <f t="shared" si="33"/>
        <v>3.3333333333333333E-2</v>
      </c>
      <c r="J160" s="108">
        <f t="shared" si="34"/>
        <v>1000</v>
      </c>
      <c r="K160" s="158">
        <f t="shared" si="35"/>
        <v>3.3333333333333333E-2</v>
      </c>
    </row>
    <row r="161" spans="1:11">
      <c r="A161" s="111" t="s">
        <v>55</v>
      </c>
      <c r="B161" s="108">
        <f>SUM(B162:B164)</f>
        <v>30000</v>
      </c>
      <c r="C161" s="21"/>
      <c r="D161" s="108"/>
      <c r="E161" s="108"/>
      <c r="F161" s="108">
        <f t="shared" si="38"/>
        <v>30000</v>
      </c>
      <c r="G161" s="108">
        <f>SUM(G162:G164)</f>
        <v>31000</v>
      </c>
      <c r="H161" s="108">
        <f t="shared" si="32"/>
        <v>1000</v>
      </c>
      <c r="I161" s="158">
        <f t="shared" si="33"/>
        <v>3.3333333333333333E-2</v>
      </c>
      <c r="J161" s="108">
        <f t="shared" si="34"/>
        <v>1000</v>
      </c>
      <c r="K161" s="158">
        <f t="shared" si="35"/>
        <v>3.3333333333333333E-2</v>
      </c>
    </row>
    <row r="162" spans="1:11">
      <c r="A162" s="82" t="s">
        <v>77</v>
      </c>
      <c r="B162" s="118">
        <v>8500</v>
      </c>
      <c r="C162" s="21"/>
      <c r="D162" s="118"/>
      <c r="E162" s="118"/>
      <c r="F162" s="118">
        <f t="shared" si="38"/>
        <v>8500</v>
      </c>
      <c r="G162" s="118">
        <v>8000</v>
      </c>
      <c r="H162" s="118">
        <f t="shared" si="32"/>
        <v>-500</v>
      </c>
      <c r="I162" s="159">
        <f t="shared" si="33"/>
        <v>-5.8823529411764705E-2</v>
      </c>
      <c r="J162" s="118">
        <f t="shared" si="34"/>
        <v>-500</v>
      </c>
      <c r="K162" s="159">
        <f t="shared" si="35"/>
        <v>-5.8823529411764705E-2</v>
      </c>
    </row>
    <row r="163" spans="1:11">
      <c r="A163" s="82" t="s">
        <v>72</v>
      </c>
      <c r="B163" s="118">
        <v>17000</v>
      </c>
      <c r="C163" s="21"/>
      <c r="D163" s="118"/>
      <c r="E163" s="118"/>
      <c r="F163" s="118">
        <f t="shared" si="38"/>
        <v>17000</v>
      </c>
      <c r="G163" s="118">
        <v>17500</v>
      </c>
      <c r="H163" s="118">
        <f t="shared" si="32"/>
        <v>500</v>
      </c>
      <c r="I163" s="159">
        <f t="shared" si="33"/>
        <v>2.9411764705882353E-2</v>
      </c>
      <c r="J163" s="118">
        <f t="shared" si="34"/>
        <v>500</v>
      </c>
      <c r="K163" s="159">
        <f t="shared" si="35"/>
        <v>2.9411764705882353E-2</v>
      </c>
    </row>
    <row r="164" spans="1:11">
      <c r="A164" s="83" t="s">
        <v>82</v>
      </c>
      <c r="B164" s="112">
        <v>4500</v>
      </c>
      <c r="C164" s="21"/>
      <c r="D164" s="112"/>
      <c r="E164" s="112"/>
      <c r="F164" s="112">
        <f t="shared" si="38"/>
        <v>4500</v>
      </c>
      <c r="G164" s="112">
        <v>5500</v>
      </c>
      <c r="H164" s="112">
        <f t="shared" si="32"/>
        <v>1000</v>
      </c>
      <c r="I164" s="186">
        <f t="shared" si="33"/>
        <v>0.22222222222222221</v>
      </c>
      <c r="J164" s="112">
        <f t="shared" si="34"/>
        <v>1000</v>
      </c>
      <c r="K164" s="186">
        <f t="shared" si="35"/>
        <v>0.22222222222222221</v>
      </c>
    </row>
    <row r="165" spans="1:11">
      <c r="A165" s="83"/>
      <c r="B165" s="112"/>
      <c r="C165" s="21"/>
      <c r="D165" s="112"/>
      <c r="E165" s="112"/>
      <c r="F165" s="112">
        <f t="shared" si="38"/>
        <v>0</v>
      </c>
      <c r="G165" s="171"/>
      <c r="H165" s="112">
        <f t="shared" si="32"/>
        <v>0</v>
      </c>
      <c r="I165" s="186"/>
      <c r="J165" s="112">
        <f t="shared" si="34"/>
        <v>0</v>
      </c>
      <c r="K165" s="186" t="str">
        <f t="shared" si="35"/>
        <v/>
      </c>
    </row>
    <row r="166" spans="1:11">
      <c r="A166" s="111" t="s">
        <v>443</v>
      </c>
      <c r="B166" s="108">
        <f>B167+B174+B172</f>
        <v>1521100</v>
      </c>
      <c r="C166" s="108">
        <f>C167+C174+C172</f>
        <v>0</v>
      </c>
      <c r="D166" s="108">
        <f>D167+D174+D172</f>
        <v>40100</v>
      </c>
      <c r="E166" s="108">
        <f>E167+E174+E172</f>
        <v>142400</v>
      </c>
      <c r="F166" s="108">
        <f t="shared" si="38"/>
        <v>1703600</v>
      </c>
      <c r="G166" s="108">
        <f>G167+G174+G172</f>
        <v>1700000</v>
      </c>
      <c r="H166" s="108">
        <f t="shared" si="32"/>
        <v>178900</v>
      </c>
      <c r="I166" s="158">
        <f t="shared" si="33"/>
        <v>0.1176122542896588</v>
      </c>
      <c r="J166" s="108">
        <f t="shared" si="34"/>
        <v>-3600</v>
      </c>
      <c r="K166" s="158">
        <f t="shared" si="35"/>
        <v>-2.1131721061281991E-3</v>
      </c>
    </row>
    <row r="167" spans="1:11">
      <c r="A167" s="111" t="s">
        <v>55</v>
      </c>
      <c r="B167" s="108">
        <f>B168+B169+B170</f>
        <v>1379500</v>
      </c>
      <c r="C167" s="21"/>
      <c r="D167" s="108"/>
      <c r="E167" s="108">
        <f>E168+E169+E170+E171</f>
        <v>112400</v>
      </c>
      <c r="F167" s="108">
        <f t="shared" si="38"/>
        <v>1491900</v>
      </c>
      <c r="G167" s="108">
        <f>G168+G169+G170</f>
        <v>1508000</v>
      </c>
      <c r="H167" s="108">
        <f t="shared" si="32"/>
        <v>128500</v>
      </c>
      <c r="I167" s="158">
        <f t="shared" si="33"/>
        <v>9.314969191736136E-2</v>
      </c>
      <c r="J167" s="108">
        <f t="shared" si="34"/>
        <v>16100</v>
      </c>
      <c r="K167" s="158">
        <f t="shared" si="35"/>
        <v>1.0791608016623098E-2</v>
      </c>
    </row>
    <row r="168" spans="1:11">
      <c r="A168" s="82" t="s">
        <v>77</v>
      </c>
      <c r="B168" s="118">
        <v>1340500</v>
      </c>
      <c r="C168" s="21"/>
      <c r="D168" s="118"/>
      <c r="E168" s="118">
        <v>112000</v>
      </c>
      <c r="F168" s="118">
        <f t="shared" si="38"/>
        <v>1452500</v>
      </c>
      <c r="G168" s="118">
        <v>1469000</v>
      </c>
      <c r="H168" s="118">
        <f t="shared" si="32"/>
        <v>128500</v>
      </c>
      <c r="I168" s="159">
        <f t="shared" si="33"/>
        <v>9.5859753823200292E-2</v>
      </c>
      <c r="J168" s="118">
        <f t="shared" si="34"/>
        <v>16500</v>
      </c>
      <c r="K168" s="159">
        <f t="shared" si="35"/>
        <v>1.1359724612736662E-2</v>
      </c>
    </row>
    <row r="169" spans="1:11">
      <c r="A169" s="83" t="s">
        <v>72</v>
      </c>
      <c r="B169" s="112">
        <v>37500</v>
      </c>
      <c r="C169" s="21"/>
      <c r="D169" s="112"/>
      <c r="E169" s="112"/>
      <c r="F169" s="112">
        <f t="shared" si="38"/>
        <v>37500</v>
      </c>
      <c r="G169" s="112">
        <v>37500</v>
      </c>
      <c r="H169" s="112">
        <f t="shared" si="32"/>
        <v>0</v>
      </c>
      <c r="I169" s="186">
        <f t="shared" si="33"/>
        <v>0</v>
      </c>
      <c r="J169" s="112">
        <f t="shared" si="34"/>
        <v>0</v>
      </c>
      <c r="K169" s="186">
        <f t="shared" si="35"/>
        <v>0</v>
      </c>
    </row>
    <row r="170" spans="1:11">
      <c r="A170" s="83" t="s">
        <v>82</v>
      </c>
      <c r="B170" s="112">
        <v>1500</v>
      </c>
      <c r="C170" s="21"/>
      <c r="D170" s="112"/>
      <c r="E170" s="112"/>
      <c r="F170" s="112">
        <f t="shared" si="38"/>
        <v>1500</v>
      </c>
      <c r="G170" s="112">
        <v>1500</v>
      </c>
      <c r="H170" s="112">
        <f t="shared" si="32"/>
        <v>0</v>
      </c>
      <c r="I170" s="186">
        <f t="shared" si="33"/>
        <v>0</v>
      </c>
      <c r="J170" s="112">
        <f t="shared" si="34"/>
        <v>0</v>
      </c>
      <c r="K170" s="186">
        <f t="shared" si="35"/>
        <v>0</v>
      </c>
    </row>
    <row r="171" spans="1:11">
      <c r="A171" s="697" t="s">
        <v>76</v>
      </c>
      <c r="B171" s="112"/>
      <c r="C171" s="21"/>
      <c r="D171" s="112"/>
      <c r="E171" s="112">
        <v>400</v>
      </c>
      <c r="F171" s="112">
        <f t="shared" si="38"/>
        <v>400</v>
      </c>
      <c r="G171" s="112"/>
      <c r="H171" s="112">
        <f t="shared" si="32"/>
        <v>0</v>
      </c>
      <c r="I171" s="186"/>
      <c r="J171" s="112">
        <f t="shared" si="34"/>
        <v>-400</v>
      </c>
      <c r="K171" s="186" t="str">
        <f t="shared" si="35"/>
        <v/>
      </c>
    </row>
    <row r="172" spans="1:11">
      <c r="A172" s="111" t="s">
        <v>51</v>
      </c>
      <c r="B172" s="108">
        <f>B173</f>
        <v>21600</v>
      </c>
      <c r="C172" s="21"/>
      <c r="D172" s="108"/>
      <c r="E172" s="108"/>
      <c r="F172" s="108">
        <f t="shared" si="38"/>
        <v>21600</v>
      </c>
      <c r="G172" s="108">
        <f>G173</f>
        <v>22000</v>
      </c>
      <c r="H172" s="108">
        <f t="shared" si="32"/>
        <v>400</v>
      </c>
      <c r="I172" s="158">
        <f t="shared" si="33"/>
        <v>1.8518518518518517E-2</v>
      </c>
      <c r="J172" s="108">
        <f t="shared" si="34"/>
        <v>400</v>
      </c>
      <c r="K172" s="158">
        <f t="shared" si="35"/>
        <v>1.8518518518518517E-2</v>
      </c>
    </row>
    <row r="173" spans="1:11">
      <c r="A173" s="82" t="s">
        <v>70</v>
      </c>
      <c r="B173" s="118">
        <v>21600</v>
      </c>
      <c r="C173" s="140"/>
      <c r="D173" s="118"/>
      <c r="E173" s="118"/>
      <c r="F173" s="118">
        <f t="shared" si="38"/>
        <v>21600</v>
      </c>
      <c r="G173" s="118">
        <v>22000</v>
      </c>
      <c r="H173" s="118">
        <f t="shared" si="32"/>
        <v>400</v>
      </c>
      <c r="I173" s="159">
        <f t="shared" si="33"/>
        <v>1.8518518518518517E-2</v>
      </c>
      <c r="J173" s="118">
        <f t="shared" si="34"/>
        <v>400</v>
      </c>
      <c r="K173" s="159">
        <f t="shared" si="35"/>
        <v>1.8518518518518517E-2</v>
      </c>
    </row>
    <row r="174" spans="1:11">
      <c r="A174" s="111" t="s">
        <v>52</v>
      </c>
      <c r="B174" s="108">
        <f>B175</f>
        <v>120000</v>
      </c>
      <c r="C174" s="108">
        <f t="shared" ref="C174:D174" si="44">C175</f>
        <v>0</v>
      </c>
      <c r="D174" s="108">
        <f t="shared" si="44"/>
        <v>40100</v>
      </c>
      <c r="E174" s="108">
        <f>E175</f>
        <v>30000</v>
      </c>
      <c r="F174" s="108">
        <f t="shared" si="38"/>
        <v>190100</v>
      </c>
      <c r="G174" s="108">
        <f>G175</f>
        <v>170000</v>
      </c>
      <c r="H174" s="108">
        <f t="shared" si="32"/>
        <v>50000</v>
      </c>
      <c r="I174" s="158">
        <f t="shared" si="33"/>
        <v>0.41666666666666669</v>
      </c>
      <c r="J174" s="108">
        <f t="shared" si="34"/>
        <v>-20100</v>
      </c>
      <c r="K174" s="158">
        <f t="shared" si="35"/>
        <v>-0.10573382430299842</v>
      </c>
    </row>
    <row r="175" spans="1:11">
      <c r="A175" s="83" t="s">
        <v>84</v>
      </c>
      <c r="B175" s="112">
        <v>120000</v>
      </c>
      <c r="C175" s="21"/>
      <c r="D175" s="112">
        <v>40100</v>
      </c>
      <c r="E175" s="112">
        <v>30000</v>
      </c>
      <c r="F175" s="112">
        <f t="shared" si="38"/>
        <v>190100</v>
      </c>
      <c r="G175" s="112">
        <v>170000</v>
      </c>
      <c r="H175" s="112">
        <f t="shared" si="32"/>
        <v>50000</v>
      </c>
      <c r="I175" s="186">
        <f t="shared" si="33"/>
        <v>0.41666666666666669</v>
      </c>
      <c r="J175" s="112">
        <f t="shared" si="34"/>
        <v>-20100</v>
      </c>
      <c r="K175" s="186">
        <f t="shared" si="35"/>
        <v>-0.10573382430299842</v>
      </c>
    </row>
    <row r="176" spans="1:11">
      <c r="A176" s="83"/>
      <c r="B176" s="112"/>
      <c r="C176" s="21"/>
      <c r="D176" s="112"/>
      <c r="E176" s="112"/>
      <c r="F176" s="112">
        <f t="shared" si="38"/>
        <v>0</v>
      </c>
      <c r="G176" s="171"/>
      <c r="H176" s="112">
        <f t="shared" si="32"/>
        <v>0</v>
      </c>
      <c r="I176" s="186"/>
      <c r="J176" s="112">
        <f t="shared" si="34"/>
        <v>0</v>
      </c>
      <c r="K176" s="186" t="str">
        <f t="shared" si="35"/>
        <v/>
      </c>
    </row>
    <row r="177" spans="1:11">
      <c r="A177" s="111" t="s">
        <v>444</v>
      </c>
      <c r="B177" s="108">
        <f>B178+B183</f>
        <v>421000</v>
      </c>
      <c r="C177" s="108">
        <f>C178+C183</f>
        <v>0</v>
      </c>
      <c r="D177" s="108">
        <f>D178+D183</f>
        <v>0</v>
      </c>
      <c r="E177" s="108">
        <f>E178+E183</f>
        <v>-50000</v>
      </c>
      <c r="F177" s="108">
        <f t="shared" si="38"/>
        <v>371000</v>
      </c>
      <c r="G177" s="108">
        <f>G178+G183</f>
        <v>445000</v>
      </c>
      <c r="H177" s="108">
        <f t="shared" si="32"/>
        <v>24000</v>
      </c>
      <c r="I177" s="158">
        <f t="shared" si="33"/>
        <v>5.7007125890736345E-2</v>
      </c>
      <c r="J177" s="108">
        <f t="shared" si="34"/>
        <v>74000</v>
      </c>
      <c r="K177" s="158">
        <f t="shared" si="35"/>
        <v>0.19946091644204852</v>
      </c>
    </row>
    <row r="178" spans="1:11">
      <c r="A178" s="111" t="s">
        <v>55</v>
      </c>
      <c r="B178" s="108">
        <f>B179+B180+B181+B182</f>
        <v>383000</v>
      </c>
      <c r="C178" s="108">
        <f>C179+C180+C181+C182</f>
        <v>0</v>
      </c>
      <c r="D178" s="108">
        <f>D179+D180+D181+D182</f>
        <v>-3000</v>
      </c>
      <c r="E178" s="108">
        <f>E179+E180+E181+E182</f>
        <v>-22500</v>
      </c>
      <c r="F178" s="108">
        <f t="shared" si="38"/>
        <v>357500</v>
      </c>
      <c r="G178" s="108">
        <f>G179+G180+G181+G182</f>
        <v>407000</v>
      </c>
      <c r="H178" s="108">
        <f t="shared" si="32"/>
        <v>24000</v>
      </c>
      <c r="I178" s="158">
        <f t="shared" si="33"/>
        <v>6.2663185378590072E-2</v>
      </c>
      <c r="J178" s="108">
        <f t="shared" si="34"/>
        <v>49500</v>
      </c>
      <c r="K178" s="158">
        <f t="shared" si="35"/>
        <v>0.13846153846153847</v>
      </c>
    </row>
    <row r="179" spans="1:11">
      <c r="A179" s="82" t="s">
        <v>77</v>
      </c>
      <c r="B179" s="118">
        <v>224000</v>
      </c>
      <c r="C179" s="21"/>
      <c r="D179" s="118">
        <v>-12000</v>
      </c>
      <c r="E179" s="112">
        <v>-38800</v>
      </c>
      <c r="F179" s="118">
        <f t="shared" si="38"/>
        <v>173200</v>
      </c>
      <c r="G179" s="118">
        <v>223000</v>
      </c>
      <c r="H179" s="118">
        <f t="shared" si="32"/>
        <v>-1000</v>
      </c>
      <c r="I179" s="159">
        <f t="shared" si="33"/>
        <v>-4.464285714285714E-3</v>
      </c>
      <c r="J179" s="118">
        <f t="shared" si="34"/>
        <v>49800</v>
      </c>
      <c r="K179" s="159">
        <f t="shared" si="35"/>
        <v>0.28752886836027713</v>
      </c>
    </row>
    <row r="180" spans="1:11">
      <c r="A180" s="83" t="s">
        <v>72</v>
      </c>
      <c r="B180" s="112">
        <v>75000</v>
      </c>
      <c r="C180" s="21"/>
      <c r="D180" s="112"/>
      <c r="E180" s="112">
        <v>23300</v>
      </c>
      <c r="F180" s="112">
        <f t="shared" si="38"/>
        <v>98300</v>
      </c>
      <c r="G180" s="112">
        <v>85000</v>
      </c>
      <c r="H180" s="112">
        <f t="shared" si="32"/>
        <v>10000</v>
      </c>
      <c r="I180" s="186">
        <f t="shared" si="33"/>
        <v>0.13333333333333333</v>
      </c>
      <c r="J180" s="112">
        <f t="shared" si="34"/>
        <v>-13300</v>
      </c>
      <c r="K180" s="186">
        <f t="shared" si="35"/>
        <v>-0.1353001017293998</v>
      </c>
    </row>
    <row r="181" spans="1:11">
      <c r="A181" s="83" t="s">
        <v>82</v>
      </c>
      <c r="B181" s="112">
        <v>75000</v>
      </c>
      <c r="C181" s="21"/>
      <c r="D181" s="112">
        <v>5000</v>
      </c>
      <c r="E181" s="112">
        <v>-7000</v>
      </c>
      <c r="F181" s="112">
        <f t="shared" si="38"/>
        <v>73000</v>
      </c>
      <c r="G181" s="112">
        <v>86000</v>
      </c>
      <c r="H181" s="112">
        <f t="shared" si="32"/>
        <v>11000</v>
      </c>
      <c r="I181" s="186">
        <f t="shared" si="33"/>
        <v>0.14666666666666667</v>
      </c>
      <c r="J181" s="112">
        <f t="shared" si="34"/>
        <v>13000</v>
      </c>
      <c r="K181" s="186">
        <f t="shared" si="35"/>
        <v>0.17808219178082191</v>
      </c>
    </row>
    <row r="182" spans="1:11">
      <c r="A182" s="83" t="s">
        <v>76</v>
      </c>
      <c r="B182" s="112">
        <v>9000</v>
      </c>
      <c r="C182" s="21"/>
      <c r="D182" s="112">
        <v>4000</v>
      </c>
      <c r="E182" s="112"/>
      <c r="F182" s="112">
        <f t="shared" si="38"/>
        <v>13000</v>
      </c>
      <c r="G182" s="112">
        <v>13000</v>
      </c>
      <c r="H182" s="112">
        <f t="shared" si="32"/>
        <v>4000</v>
      </c>
      <c r="I182" s="186">
        <f t="shared" si="33"/>
        <v>0.44444444444444442</v>
      </c>
      <c r="J182" s="112">
        <f t="shared" si="34"/>
        <v>0</v>
      </c>
      <c r="K182" s="186">
        <f t="shared" si="35"/>
        <v>0</v>
      </c>
    </row>
    <row r="183" spans="1:11">
      <c r="A183" s="111" t="s">
        <v>52</v>
      </c>
      <c r="B183" s="108">
        <f t="shared" ref="B183" si="45">B184</f>
        <v>38000</v>
      </c>
      <c r="C183" s="21"/>
      <c r="D183" s="108">
        <f>D184</f>
        <v>3000</v>
      </c>
      <c r="E183" s="108">
        <f t="shared" ref="E183:G183" si="46">E184</f>
        <v>-27500</v>
      </c>
      <c r="F183" s="108">
        <f t="shared" si="38"/>
        <v>13500</v>
      </c>
      <c r="G183" s="108">
        <f t="shared" si="46"/>
        <v>38000</v>
      </c>
      <c r="H183" s="108">
        <f t="shared" si="32"/>
        <v>0</v>
      </c>
      <c r="I183" s="158">
        <f t="shared" si="33"/>
        <v>0</v>
      </c>
      <c r="J183" s="108">
        <f t="shared" si="34"/>
        <v>24500</v>
      </c>
      <c r="K183" s="158">
        <f t="shared" si="35"/>
        <v>1.8148148148148149</v>
      </c>
    </row>
    <row r="184" spans="1:11">
      <c r="A184" s="83" t="s">
        <v>84</v>
      </c>
      <c r="B184" s="112">
        <v>38000</v>
      </c>
      <c r="C184" s="21"/>
      <c r="D184" s="118">
        <v>3000</v>
      </c>
      <c r="E184" s="112">
        <v>-27500</v>
      </c>
      <c r="F184" s="112">
        <f t="shared" si="38"/>
        <v>13500</v>
      </c>
      <c r="G184" s="112">
        <v>38000</v>
      </c>
      <c r="H184" s="112">
        <f t="shared" si="32"/>
        <v>0</v>
      </c>
      <c r="I184" s="186">
        <f t="shared" si="33"/>
        <v>0</v>
      </c>
      <c r="J184" s="112">
        <f t="shared" si="34"/>
        <v>24500</v>
      </c>
      <c r="K184" s="186">
        <f t="shared" si="35"/>
        <v>1.8148148148148149</v>
      </c>
    </row>
    <row r="185" spans="1:11">
      <c r="A185" s="83"/>
      <c r="B185" s="112"/>
      <c r="C185" s="21"/>
      <c r="D185" s="112"/>
      <c r="E185" s="112"/>
      <c r="F185" s="112">
        <f t="shared" si="38"/>
        <v>0</v>
      </c>
      <c r="G185" s="171"/>
      <c r="H185" s="112">
        <f t="shared" si="32"/>
        <v>0</v>
      </c>
      <c r="I185" s="186"/>
      <c r="J185" s="112">
        <f t="shared" si="34"/>
        <v>0</v>
      </c>
      <c r="K185" s="186" t="str">
        <f t="shared" si="35"/>
        <v/>
      </c>
    </row>
    <row r="186" spans="1:11">
      <c r="A186" s="111" t="s">
        <v>445</v>
      </c>
      <c r="B186" s="108">
        <f>B187+B192</f>
        <v>225000</v>
      </c>
      <c r="C186" s="21"/>
      <c r="D186" s="108"/>
      <c r="E186" s="108">
        <f>E187+E192</f>
        <v>10000</v>
      </c>
      <c r="F186" s="108">
        <f t="shared" si="38"/>
        <v>235000</v>
      </c>
      <c r="G186" s="108">
        <f>G187+G192</f>
        <v>245000</v>
      </c>
      <c r="H186" s="108">
        <f t="shared" si="32"/>
        <v>20000</v>
      </c>
      <c r="I186" s="158">
        <f t="shared" si="33"/>
        <v>8.8888888888888892E-2</v>
      </c>
      <c r="J186" s="108">
        <f t="shared" si="34"/>
        <v>10000</v>
      </c>
      <c r="K186" s="158">
        <f t="shared" si="35"/>
        <v>4.2553191489361701E-2</v>
      </c>
    </row>
    <row r="187" spans="1:11">
      <c r="A187" s="111" t="s">
        <v>55</v>
      </c>
      <c r="B187" s="108">
        <f>SUM(B188:B191)</f>
        <v>222850</v>
      </c>
      <c r="C187" s="21"/>
      <c r="D187" s="108"/>
      <c r="E187" s="108">
        <f>E188+E189+E190+E191</f>
        <v>10000</v>
      </c>
      <c r="F187" s="108">
        <f t="shared" si="38"/>
        <v>232850</v>
      </c>
      <c r="G187" s="108">
        <f>G188+G189+G190+G191</f>
        <v>242800</v>
      </c>
      <c r="H187" s="108">
        <f t="shared" si="32"/>
        <v>19950</v>
      </c>
      <c r="I187" s="158">
        <f t="shared" si="33"/>
        <v>8.9522100067309845E-2</v>
      </c>
      <c r="J187" s="108">
        <f t="shared" si="34"/>
        <v>9950</v>
      </c>
      <c r="K187" s="158">
        <f t="shared" si="35"/>
        <v>4.2731372127979388E-2</v>
      </c>
    </row>
    <row r="188" spans="1:11">
      <c r="A188" s="82" t="s">
        <v>80</v>
      </c>
      <c r="B188" s="118">
        <v>22000</v>
      </c>
      <c r="C188" s="21"/>
      <c r="D188" s="118"/>
      <c r="E188" s="118">
        <v>-4000</v>
      </c>
      <c r="F188" s="118">
        <f t="shared" si="38"/>
        <v>18000</v>
      </c>
      <c r="G188" s="118">
        <v>16000</v>
      </c>
      <c r="H188" s="118">
        <f t="shared" si="32"/>
        <v>-6000</v>
      </c>
      <c r="I188" s="159">
        <f t="shared" si="33"/>
        <v>-0.27272727272727271</v>
      </c>
      <c r="J188" s="118">
        <f t="shared" si="34"/>
        <v>-2000</v>
      </c>
      <c r="K188" s="159">
        <f t="shared" si="35"/>
        <v>-0.1111111111111111</v>
      </c>
    </row>
    <row r="189" spans="1:11">
      <c r="A189" s="82" t="s">
        <v>77</v>
      </c>
      <c r="B189" s="118">
        <v>550</v>
      </c>
      <c r="C189" s="21"/>
      <c r="D189" s="118"/>
      <c r="E189" s="118"/>
      <c r="F189" s="118">
        <f t="shared" si="38"/>
        <v>550</v>
      </c>
      <c r="G189" s="118">
        <v>550</v>
      </c>
      <c r="H189" s="118">
        <f t="shared" si="32"/>
        <v>0</v>
      </c>
      <c r="I189" s="159">
        <f t="shared" si="33"/>
        <v>0</v>
      </c>
      <c r="J189" s="118">
        <f t="shared" si="34"/>
        <v>0</v>
      </c>
      <c r="K189" s="159">
        <f t="shared" si="35"/>
        <v>0</v>
      </c>
    </row>
    <row r="190" spans="1:11">
      <c r="A190" s="83" t="s">
        <v>196</v>
      </c>
      <c r="B190" s="112">
        <v>190300</v>
      </c>
      <c r="C190" s="21"/>
      <c r="D190" s="112"/>
      <c r="E190" s="112">
        <v>10000</v>
      </c>
      <c r="F190" s="112">
        <f t="shared" si="38"/>
        <v>200300</v>
      </c>
      <c r="G190" s="112">
        <v>209250</v>
      </c>
      <c r="H190" s="112">
        <f t="shared" si="32"/>
        <v>18950</v>
      </c>
      <c r="I190" s="186">
        <f t="shared" si="33"/>
        <v>9.957961114030478E-2</v>
      </c>
      <c r="J190" s="112">
        <f t="shared" si="34"/>
        <v>8950</v>
      </c>
      <c r="K190" s="186">
        <f t="shared" si="35"/>
        <v>4.4682975536694959E-2</v>
      </c>
    </row>
    <row r="191" spans="1:11">
      <c r="A191" s="83" t="s">
        <v>82</v>
      </c>
      <c r="B191" s="112">
        <v>10000</v>
      </c>
      <c r="C191" s="21"/>
      <c r="D191" s="112"/>
      <c r="E191" s="112">
        <v>4000</v>
      </c>
      <c r="F191" s="112">
        <f t="shared" si="38"/>
        <v>14000</v>
      </c>
      <c r="G191" s="112">
        <v>17000</v>
      </c>
      <c r="H191" s="112">
        <f t="shared" si="32"/>
        <v>7000</v>
      </c>
      <c r="I191" s="186">
        <f t="shared" si="33"/>
        <v>0.7</v>
      </c>
      <c r="J191" s="112">
        <f t="shared" si="34"/>
        <v>3000</v>
      </c>
      <c r="K191" s="186">
        <f t="shared" si="35"/>
        <v>0.21428571428571427</v>
      </c>
    </row>
    <row r="192" spans="1:11">
      <c r="A192" s="111" t="s">
        <v>51</v>
      </c>
      <c r="B192" s="108">
        <f>SUM(B193)</f>
        <v>2150</v>
      </c>
      <c r="C192" s="21"/>
      <c r="D192" s="108"/>
      <c r="E192" s="108"/>
      <c r="F192" s="108">
        <f t="shared" si="38"/>
        <v>2150</v>
      </c>
      <c r="G192" s="108">
        <f>G193</f>
        <v>2200</v>
      </c>
      <c r="H192" s="108">
        <f t="shared" si="32"/>
        <v>50</v>
      </c>
      <c r="I192" s="158">
        <f t="shared" si="33"/>
        <v>2.3255813953488372E-2</v>
      </c>
      <c r="J192" s="108">
        <f t="shared" si="34"/>
        <v>50</v>
      </c>
      <c r="K192" s="158">
        <f t="shared" si="35"/>
        <v>2.3255813953488372E-2</v>
      </c>
    </row>
    <row r="193" spans="1:11">
      <c r="A193" s="82" t="s">
        <v>69</v>
      </c>
      <c r="B193" s="118">
        <v>2150</v>
      </c>
      <c r="C193" s="21"/>
      <c r="D193" s="118"/>
      <c r="E193" s="118"/>
      <c r="F193" s="118">
        <f t="shared" si="38"/>
        <v>2150</v>
      </c>
      <c r="G193" s="118">
        <v>2200</v>
      </c>
      <c r="H193" s="118">
        <f t="shared" ref="H193:H256" si="47">G193-B193</f>
        <v>50</v>
      </c>
      <c r="I193" s="159">
        <f t="shared" ref="I193:I256" si="48">H193/B193</f>
        <v>2.3255813953488372E-2</v>
      </c>
      <c r="J193" s="118">
        <f t="shared" ref="J193:J256" si="49">G193-F193</f>
        <v>50</v>
      </c>
      <c r="K193" s="159">
        <f t="shared" ref="K193:K256" si="50">IF(G193=0,"",J193/F193)</f>
        <v>2.3255813953488372E-2</v>
      </c>
    </row>
    <row r="194" spans="1:11">
      <c r="A194" s="83"/>
      <c r="B194" s="112"/>
      <c r="C194" s="21"/>
      <c r="D194" s="112"/>
      <c r="E194" s="112"/>
      <c r="F194" s="112">
        <f t="shared" si="38"/>
        <v>0</v>
      </c>
      <c r="G194" s="171"/>
      <c r="H194" s="112">
        <f t="shared" si="47"/>
        <v>0</v>
      </c>
      <c r="I194" s="186"/>
      <c r="J194" s="112">
        <f t="shared" si="49"/>
        <v>0</v>
      </c>
      <c r="K194" s="186" t="str">
        <f t="shared" si="50"/>
        <v/>
      </c>
    </row>
    <row r="195" spans="1:11">
      <c r="A195" s="111" t="s">
        <v>446</v>
      </c>
      <c r="B195" s="108">
        <f>B196+B201</f>
        <v>235000</v>
      </c>
      <c r="C195" s="21"/>
      <c r="D195" s="108"/>
      <c r="E195" s="108">
        <f>E196+E201</f>
        <v>-1000</v>
      </c>
      <c r="F195" s="108">
        <f t="shared" si="38"/>
        <v>234000</v>
      </c>
      <c r="G195" s="108">
        <f>G196+G201</f>
        <v>243000</v>
      </c>
      <c r="H195" s="108">
        <f t="shared" si="47"/>
        <v>8000</v>
      </c>
      <c r="I195" s="158">
        <f t="shared" si="48"/>
        <v>3.4042553191489362E-2</v>
      </c>
      <c r="J195" s="108">
        <f t="shared" si="49"/>
        <v>9000</v>
      </c>
      <c r="K195" s="158">
        <f t="shared" si="50"/>
        <v>3.8461538461538464E-2</v>
      </c>
    </row>
    <row r="196" spans="1:11">
      <c r="A196" s="111" t="s">
        <v>55</v>
      </c>
      <c r="B196" s="108">
        <f>SUM(B197:B200)</f>
        <v>174000</v>
      </c>
      <c r="C196" s="21"/>
      <c r="D196" s="108"/>
      <c r="E196" s="108">
        <f>SUM(E197:E200)</f>
        <v>-18000</v>
      </c>
      <c r="F196" s="108">
        <f t="shared" si="38"/>
        <v>156000</v>
      </c>
      <c r="G196" s="108">
        <f>SUM(G197:G200)</f>
        <v>171000</v>
      </c>
      <c r="H196" s="108">
        <f t="shared" si="47"/>
        <v>-3000</v>
      </c>
      <c r="I196" s="158">
        <f t="shared" si="48"/>
        <v>-1.7241379310344827E-2</v>
      </c>
      <c r="J196" s="108">
        <f t="shared" si="49"/>
        <v>15000</v>
      </c>
      <c r="K196" s="158">
        <f t="shared" si="50"/>
        <v>9.6153846153846159E-2</v>
      </c>
    </row>
    <row r="197" spans="1:11">
      <c r="A197" s="82" t="s">
        <v>80</v>
      </c>
      <c r="B197" s="118">
        <v>19500</v>
      </c>
      <c r="C197" s="21"/>
      <c r="D197" s="118"/>
      <c r="E197" s="118">
        <v>-1500</v>
      </c>
      <c r="F197" s="118">
        <f t="shared" si="38"/>
        <v>18000</v>
      </c>
      <c r="G197" s="118">
        <v>19500</v>
      </c>
      <c r="H197" s="118">
        <f t="shared" si="47"/>
        <v>0</v>
      </c>
      <c r="I197" s="159">
        <f t="shared" si="48"/>
        <v>0</v>
      </c>
      <c r="J197" s="118">
        <f t="shared" si="49"/>
        <v>1500</v>
      </c>
      <c r="K197" s="159">
        <f t="shared" si="50"/>
        <v>8.3333333333333329E-2</v>
      </c>
    </row>
    <row r="198" spans="1:11">
      <c r="A198" s="82" t="s">
        <v>77</v>
      </c>
      <c r="B198" s="118">
        <v>43500</v>
      </c>
      <c r="C198" s="21"/>
      <c r="D198" s="118"/>
      <c r="E198" s="118">
        <v>-6500</v>
      </c>
      <c r="F198" s="118">
        <f t="shared" si="38"/>
        <v>37000</v>
      </c>
      <c r="G198" s="118">
        <v>43500</v>
      </c>
      <c r="H198" s="118">
        <f t="shared" si="47"/>
        <v>0</v>
      </c>
      <c r="I198" s="159">
        <f t="shared" si="48"/>
        <v>0</v>
      </c>
      <c r="J198" s="118">
        <f t="shared" si="49"/>
        <v>6500</v>
      </c>
      <c r="K198" s="159">
        <f t="shared" si="50"/>
        <v>0.17567567567567569</v>
      </c>
    </row>
    <row r="199" spans="1:11">
      <c r="A199" s="83" t="s">
        <v>82</v>
      </c>
      <c r="B199" s="112">
        <v>109000</v>
      </c>
      <c r="C199" s="21"/>
      <c r="D199" s="112"/>
      <c r="E199" s="112">
        <v>-10000</v>
      </c>
      <c r="F199" s="112">
        <f t="shared" ref="F199:F262" si="51">SUM(B199:E199)</f>
        <v>99000</v>
      </c>
      <c r="G199" s="112">
        <v>106000</v>
      </c>
      <c r="H199" s="112">
        <f t="shared" si="47"/>
        <v>-3000</v>
      </c>
      <c r="I199" s="186">
        <f t="shared" si="48"/>
        <v>-2.7522935779816515E-2</v>
      </c>
      <c r="J199" s="112">
        <f t="shared" si="49"/>
        <v>7000</v>
      </c>
      <c r="K199" s="186">
        <f t="shared" si="50"/>
        <v>7.0707070707070704E-2</v>
      </c>
    </row>
    <row r="200" spans="1:11">
      <c r="A200" s="83" t="s">
        <v>76</v>
      </c>
      <c r="B200" s="112">
        <v>2000</v>
      </c>
      <c r="C200" s="21"/>
      <c r="D200" s="112"/>
      <c r="E200" s="112"/>
      <c r="F200" s="112">
        <f t="shared" si="51"/>
        <v>2000</v>
      </c>
      <c r="G200" s="112">
        <v>2000</v>
      </c>
      <c r="H200" s="112">
        <f t="shared" si="47"/>
        <v>0</v>
      </c>
      <c r="I200" s="186">
        <f t="shared" si="48"/>
        <v>0</v>
      </c>
      <c r="J200" s="112">
        <f t="shared" si="49"/>
        <v>0</v>
      </c>
      <c r="K200" s="186">
        <f t="shared" si="50"/>
        <v>0</v>
      </c>
    </row>
    <row r="201" spans="1:11">
      <c r="A201" s="111" t="s">
        <v>51</v>
      </c>
      <c r="B201" s="108">
        <f>SUM(B202:B203)</f>
        <v>61000</v>
      </c>
      <c r="C201" s="21"/>
      <c r="D201" s="108"/>
      <c r="E201" s="108">
        <f>E202+E203</f>
        <v>17000</v>
      </c>
      <c r="F201" s="108">
        <f t="shared" si="51"/>
        <v>78000</v>
      </c>
      <c r="G201" s="108">
        <f>SUM(G202:G203)</f>
        <v>72000</v>
      </c>
      <c r="H201" s="108">
        <f t="shared" si="47"/>
        <v>11000</v>
      </c>
      <c r="I201" s="158">
        <f t="shared" si="48"/>
        <v>0.18032786885245902</v>
      </c>
      <c r="J201" s="108">
        <f t="shared" si="49"/>
        <v>-6000</v>
      </c>
      <c r="K201" s="158">
        <f t="shared" si="50"/>
        <v>-7.6923076923076927E-2</v>
      </c>
    </row>
    <row r="202" spans="1:11">
      <c r="A202" s="82" t="s">
        <v>69</v>
      </c>
      <c r="B202" s="118">
        <v>44300</v>
      </c>
      <c r="C202" s="21"/>
      <c r="D202" s="118"/>
      <c r="E202" s="118">
        <v>700</v>
      </c>
      <c r="F202" s="118">
        <f t="shared" si="51"/>
        <v>45000</v>
      </c>
      <c r="G202" s="118">
        <v>53000</v>
      </c>
      <c r="H202" s="118">
        <f t="shared" si="47"/>
        <v>8700</v>
      </c>
      <c r="I202" s="159">
        <f t="shared" si="48"/>
        <v>0.19638826185101579</v>
      </c>
      <c r="J202" s="118">
        <f t="shared" si="49"/>
        <v>8000</v>
      </c>
      <c r="K202" s="159">
        <f t="shared" si="50"/>
        <v>0.17777777777777778</v>
      </c>
    </row>
    <row r="203" spans="1:11">
      <c r="A203" s="82" t="s">
        <v>70</v>
      </c>
      <c r="B203" s="118">
        <v>16700</v>
      </c>
      <c r="C203" s="21"/>
      <c r="D203" s="118"/>
      <c r="E203" s="118">
        <v>16300</v>
      </c>
      <c r="F203" s="118">
        <f t="shared" si="51"/>
        <v>33000</v>
      </c>
      <c r="G203" s="118">
        <v>19000</v>
      </c>
      <c r="H203" s="118">
        <f t="shared" si="47"/>
        <v>2300</v>
      </c>
      <c r="I203" s="159">
        <f t="shared" si="48"/>
        <v>0.1377245508982036</v>
      </c>
      <c r="J203" s="118">
        <f t="shared" si="49"/>
        <v>-14000</v>
      </c>
      <c r="K203" s="159">
        <f t="shared" si="50"/>
        <v>-0.42424242424242425</v>
      </c>
    </row>
    <row r="204" spans="1:11">
      <c r="A204" s="106"/>
      <c r="B204" s="107"/>
      <c r="C204" s="21"/>
      <c r="D204" s="107"/>
      <c r="E204" s="107"/>
      <c r="F204" s="107">
        <f t="shared" si="51"/>
        <v>0</v>
      </c>
      <c r="G204" s="251"/>
      <c r="H204" s="107">
        <f t="shared" si="47"/>
        <v>0</v>
      </c>
      <c r="I204" s="156"/>
      <c r="J204" s="107">
        <f t="shared" si="49"/>
        <v>0</v>
      </c>
      <c r="K204" s="156" t="str">
        <f t="shared" si="50"/>
        <v/>
      </c>
    </row>
    <row r="205" spans="1:11">
      <c r="A205" s="111" t="s">
        <v>590</v>
      </c>
      <c r="B205" s="108">
        <f t="shared" ref="B205" si="52">B206+B210+B213</f>
        <v>1621840</v>
      </c>
      <c r="C205" s="108">
        <f t="shared" ref="C205:D205" si="53">C206+C210+C213</f>
        <v>0</v>
      </c>
      <c r="D205" s="108">
        <f t="shared" si="53"/>
        <v>0</v>
      </c>
      <c r="E205" s="108">
        <f t="shared" ref="E205:G205" si="54">E206+E210+E213</f>
        <v>1000</v>
      </c>
      <c r="F205" s="108">
        <f t="shared" si="51"/>
        <v>1622840</v>
      </c>
      <c r="G205" s="108">
        <f t="shared" si="54"/>
        <v>1701505</v>
      </c>
      <c r="H205" s="108">
        <f t="shared" si="47"/>
        <v>79665</v>
      </c>
      <c r="I205" s="158">
        <f t="shared" si="48"/>
        <v>4.9120135155132444E-2</v>
      </c>
      <c r="J205" s="108">
        <f t="shared" si="49"/>
        <v>78665</v>
      </c>
      <c r="K205" s="158">
        <f t="shared" si="50"/>
        <v>4.8473663454191421E-2</v>
      </c>
    </row>
    <row r="206" spans="1:11">
      <c r="A206" s="111" t="s">
        <v>56</v>
      </c>
      <c r="B206" s="108">
        <f t="shared" ref="B206" si="55">SUM(B207:B209)</f>
        <v>460500</v>
      </c>
      <c r="C206" s="108">
        <f t="shared" ref="C206:D206" si="56">SUM(C207:C209)</f>
        <v>0</v>
      </c>
      <c r="D206" s="108">
        <f t="shared" si="56"/>
        <v>-7350</v>
      </c>
      <c r="E206" s="108">
        <f t="shared" ref="E206:G206" si="57">SUM(E207:E209)</f>
        <v>0</v>
      </c>
      <c r="F206" s="108">
        <f t="shared" si="51"/>
        <v>453150</v>
      </c>
      <c r="G206" s="108">
        <f t="shared" si="57"/>
        <v>506550</v>
      </c>
      <c r="H206" s="108">
        <f t="shared" si="47"/>
        <v>46050</v>
      </c>
      <c r="I206" s="158">
        <f t="shared" si="48"/>
        <v>0.1</v>
      </c>
      <c r="J206" s="108">
        <f t="shared" si="49"/>
        <v>53400</v>
      </c>
      <c r="K206" s="158">
        <f t="shared" si="50"/>
        <v>0.11784177424693811</v>
      </c>
    </row>
    <row r="207" spans="1:11">
      <c r="A207" s="82" t="s">
        <v>85</v>
      </c>
      <c r="B207" s="118">
        <v>340000</v>
      </c>
      <c r="C207" s="21"/>
      <c r="D207" s="118"/>
      <c r="E207" s="118"/>
      <c r="F207" s="118">
        <f t="shared" si="51"/>
        <v>340000</v>
      </c>
      <c r="G207" s="118">
        <v>374000</v>
      </c>
      <c r="H207" s="118">
        <f t="shared" si="47"/>
        <v>34000</v>
      </c>
      <c r="I207" s="159">
        <f t="shared" si="48"/>
        <v>0.1</v>
      </c>
      <c r="J207" s="118">
        <f t="shared" si="49"/>
        <v>34000</v>
      </c>
      <c r="K207" s="159">
        <f t="shared" si="50"/>
        <v>0.1</v>
      </c>
    </row>
    <row r="208" spans="1:11">
      <c r="A208" s="82" t="s">
        <v>181</v>
      </c>
      <c r="B208" s="118">
        <v>40500</v>
      </c>
      <c r="C208" s="21"/>
      <c r="D208" s="118">
        <v>-7350</v>
      </c>
      <c r="E208" s="118"/>
      <c r="F208" s="118">
        <f t="shared" si="51"/>
        <v>33150</v>
      </c>
      <c r="G208" s="118">
        <v>44550</v>
      </c>
      <c r="H208" s="118">
        <f t="shared" si="47"/>
        <v>4050</v>
      </c>
      <c r="I208" s="159">
        <f t="shared" si="48"/>
        <v>0.1</v>
      </c>
      <c r="J208" s="118">
        <f t="shared" si="49"/>
        <v>11400</v>
      </c>
      <c r="K208" s="159">
        <f t="shared" si="50"/>
        <v>0.34389140271493213</v>
      </c>
    </row>
    <row r="209" spans="1:11">
      <c r="A209" s="82" t="s">
        <v>180</v>
      </c>
      <c r="B209" s="118">
        <v>80000</v>
      </c>
      <c r="C209" s="21"/>
      <c r="D209" s="118"/>
      <c r="E209" s="118"/>
      <c r="F209" s="118">
        <f t="shared" si="51"/>
        <v>80000</v>
      </c>
      <c r="G209" s="118">
        <v>88000</v>
      </c>
      <c r="H209" s="118">
        <f t="shared" si="47"/>
        <v>8000</v>
      </c>
      <c r="I209" s="159">
        <f t="shared" si="48"/>
        <v>0.1</v>
      </c>
      <c r="J209" s="118">
        <f t="shared" si="49"/>
        <v>8000</v>
      </c>
      <c r="K209" s="159">
        <f t="shared" si="50"/>
        <v>0.1</v>
      </c>
    </row>
    <row r="210" spans="1:11">
      <c r="A210" s="111" t="s">
        <v>51</v>
      </c>
      <c r="B210" s="108">
        <f t="shared" ref="B210" si="58">B211+B212</f>
        <v>1160840</v>
      </c>
      <c r="C210" s="21"/>
      <c r="D210" s="108">
        <f>D211+D212</f>
        <v>7850</v>
      </c>
      <c r="E210" s="108">
        <f t="shared" ref="E210:G210" si="59">E211+E212</f>
        <v>1000</v>
      </c>
      <c r="F210" s="108">
        <f t="shared" si="51"/>
        <v>1169690</v>
      </c>
      <c r="G210" s="108">
        <f t="shared" si="59"/>
        <v>1194955</v>
      </c>
      <c r="H210" s="108">
        <f t="shared" si="47"/>
        <v>34115</v>
      </c>
      <c r="I210" s="158">
        <f t="shared" si="48"/>
        <v>2.9388201647083147E-2</v>
      </c>
      <c r="J210" s="108">
        <f t="shared" si="49"/>
        <v>25265</v>
      </c>
      <c r="K210" s="158">
        <f t="shared" si="50"/>
        <v>2.1599740102078328E-2</v>
      </c>
    </row>
    <row r="211" spans="1:11">
      <c r="A211" s="82" t="s">
        <v>69</v>
      </c>
      <c r="B211" s="118">
        <v>1151260</v>
      </c>
      <c r="C211" s="21"/>
      <c r="D211" s="118">
        <v>6300</v>
      </c>
      <c r="E211" s="118"/>
      <c r="F211" s="118">
        <f t="shared" si="51"/>
        <v>1157560</v>
      </c>
      <c r="G211" s="118">
        <v>1183955</v>
      </c>
      <c r="H211" s="118">
        <f t="shared" si="47"/>
        <v>32695</v>
      </c>
      <c r="I211" s="159">
        <f t="shared" si="48"/>
        <v>2.8399319007001024E-2</v>
      </c>
      <c r="J211" s="118">
        <f t="shared" si="49"/>
        <v>26395</v>
      </c>
      <c r="K211" s="159">
        <f t="shared" si="50"/>
        <v>2.2802273748229032E-2</v>
      </c>
    </row>
    <row r="212" spans="1:11">
      <c r="A212" s="82" t="s">
        <v>70</v>
      </c>
      <c r="B212" s="118">
        <v>9580</v>
      </c>
      <c r="C212" s="21"/>
      <c r="D212" s="118">
        <v>1550</v>
      </c>
      <c r="E212" s="118">
        <v>1000</v>
      </c>
      <c r="F212" s="118">
        <f t="shared" si="51"/>
        <v>12130</v>
      </c>
      <c r="G212" s="118">
        <v>11000</v>
      </c>
      <c r="H212" s="118">
        <f t="shared" si="47"/>
        <v>1420</v>
      </c>
      <c r="I212" s="159">
        <f t="shared" si="48"/>
        <v>0.14822546972860126</v>
      </c>
      <c r="J212" s="118">
        <f t="shared" si="49"/>
        <v>-1130</v>
      </c>
      <c r="K212" s="159">
        <f t="shared" si="50"/>
        <v>-9.3157460840890355E-2</v>
      </c>
    </row>
    <row r="213" spans="1:11">
      <c r="A213" s="111" t="s">
        <v>52</v>
      </c>
      <c r="B213" s="108">
        <f t="shared" ref="B213" si="60">B214</f>
        <v>500</v>
      </c>
      <c r="C213" s="21"/>
      <c r="D213" s="108">
        <f>D214</f>
        <v>-500</v>
      </c>
      <c r="E213" s="108"/>
      <c r="F213" s="108">
        <f t="shared" si="51"/>
        <v>0</v>
      </c>
      <c r="G213" s="252"/>
      <c r="H213" s="108">
        <f t="shared" si="47"/>
        <v>-500</v>
      </c>
      <c r="I213" s="158">
        <f t="shared" si="48"/>
        <v>-1</v>
      </c>
      <c r="J213" s="108">
        <f t="shared" si="49"/>
        <v>0</v>
      </c>
      <c r="K213" s="158" t="str">
        <f t="shared" si="50"/>
        <v/>
      </c>
    </row>
    <row r="214" spans="1:11">
      <c r="A214" s="83" t="s">
        <v>84</v>
      </c>
      <c r="B214" s="112">
        <v>500</v>
      </c>
      <c r="C214" s="21"/>
      <c r="D214" s="118">
        <v>-500</v>
      </c>
      <c r="E214" s="118"/>
      <c r="F214" s="112">
        <f t="shared" si="51"/>
        <v>0</v>
      </c>
      <c r="G214" s="171"/>
      <c r="H214" s="112">
        <f t="shared" si="47"/>
        <v>-500</v>
      </c>
      <c r="I214" s="186">
        <f t="shared" si="48"/>
        <v>-1</v>
      </c>
      <c r="J214" s="112">
        <f t="shared" si="49"/>
        <v>0</v>
      </c>
      <c r="K214" s="186" t="str">
        <f t="shared" si="50"/>
        <v/>
      </c>
    </row>
    <row r="215" spans="1:11">
      <c r="A215" s="111"/>
      <c r="B215" s="108"/>
      <c r="C215" s="21"/>
      <c r="D215" s="108"/>
      <c r="E215" s="108"/>
      <c r="F215" s="108">
        <f t="shared" si="51"/>
        <v>0</v>
      </c>
      <c r="G215" s="252"/>
      <c r="H215" s="108">
        <f t="shared" si="47"/>
        <v>0</v>
      </c>
      <c r="I215" s="158"/>
      <c r="J215" s="108">
        <f t="shared" si="49"/>
        <v>0</v>
      </c>
      <c r="K215" s="158" t="str">
        <f t="shared" si="50"/>
        <v/>
      </c>
    </row>
    <row r="216" spans="1:11">
      <c r="A216" s="111" t="s">
        <v>591</v>
      </c>
      <c r="B216" s="108">
        <f>B217+B221+B224+B226</f>
        <v>1943280</v>
      </c>
      <c r="C216" s="21"/>
      <c r="D216" s="108"/>
      <c r="E216" s="108">
        <f>E217+E221+E224+E226</f>
        <v>-300000</v>
      </c>
      <c r="F216" s="108">
        <f t="shared" si="51"/>
        <v>1643280</v>
      </c>
      <c r="G216" s="108">
        <f>G217+G221+G224+G226</f>
        <v>1862371</v>
      </c>
      <c r="H216" s="108">
        <f t="shared" si="47"/>
        <v>-80909</v>
      </c>
      <c r="I216" s="158">
        <f t="shared" si="48"/>
        <v>-4.1635276439833682E-2</v>
      </c>
      <c r="J216" s="108">
        <f t="shared" si="49"/>
        <v>219091</v>
      </c>
      <c r="K216" s="158">
        <f t="shared" si="50"/>
        <v>0.13332542232607955</v>
      </c>
    </row>
    <row r="217" spans="1:11">
      <c r="A217" s="111" t="s">
        <v>56</v>
      </c>
      <c r="B217" s="108">
        <f>B218+B219+B220</f>
        <v>1600000</v>
      </c>
      <c r="C217" s="21"/>
      <c r="D217" s="108"/>
      <c r="E217" s="108">
        <f>E218+E219+E220</f>
        <v>-242000</v>
      </c>
      <c r="F217" s="108">
        <f t="shared" si="51"/>
        <v>1358000</v>
      </c>
      <c r="G217" s="108">
        <f>G218+G219+G220</f>
        <v>1562000</v>
      </c>
      <c r="H217" s="108">
        <f t="shared" si="47"/>
        <v>-38000</v>
      </c>
      <c r="I217" s="158">
        <f t="shared" si="48"/>
        <v>-2.375E-2</v>
      </c>
      <c r="J217" s="108">
        <f t="shared" si="49"/>
        <v>204000</v>
      </c>
      <c r="K217" s="158">
        <f t="shared" si="50"/>
        <v>0.15022091310751104</v>
      </c>
    </row>
    <row r="218" spans="1:11">
      <c r="A218" s="82" t="s">
        <v>85</v>
      </c>
      <c r="B218" s="118">
        <v>1540000</v>
      </c>
      <c r="C218" s="21"/>
      <c r="D218" s="118"/>
      <c r="E218" s="118">
        <v>-221000</v>
      </c>
      <c r="F218" s="118">
        <f t="shared" si="51"/>
        <v>1319000</v>
      </c>
      <c r="G218" s="118">
        <v>1502000</v>
      </c>
      <c r="H218" s="118">
        <f t="shared" si="47"/>
        <v>-38000</v>
      </c>
      <c r="I218" s="159">
        <f t="shared" si="48"/>
        <v>-2.4675324675324677E-2</v>
      </c>
      <c r="J218" s="118">
        <f t="shared" si="49"/>
        <v>183000</v>
      </c>
      <c r="K218" s="159">
        <f t="shared" si="50"/>
        <v>0.13874147081122062</v>
      </c>
    </row>
    <row r="219" spans="1:11">
      <c r="A219" s="82" t="s">
        <v>181</v>
      </c>
      <c r="B219" s="118">
        <v>29000</v>
      </c>
      <c r="C219" s="21"/>
      <c r="D219" s="118"/>
      <c r="E219" s="118">
        <v>-15000</v>
      </c>
      <c r="F219" s="118">
        <f t="shared" si="51"/>
        <v>14000</v>
      </c>
      <c r="G219" s="118">
        <v>29000</v>
      </c>
      <c r="H219" s="118">
        <f t="shared" si="47"/>
        <v>0</v>
      </c>
      <c r="I219" s="159">
        <f t="shared" si="48"/>
        <v>0</v>
      </c>
      <c r="J219" s="118">
        <f t="shared" si="49"/>
        <v>15000</v>
      </c>
      <c r="K219" s="159">
        <f t="shared" si="50"/>
        <v>1.0714285714285714</v>
      </c>
    </row>
    <row r="220" spans="1:11">
      <c r="A220" s="82" t="s">
        <v>180</v>
      </c>
      <c r="B220" s="118">
        <v>31000</v>
      </c>
      <c r="C220" s="21"/>
      <c r="D220" s="118"/>
      <c r="E220" s="118">
        <v>-6000</v>
      </c>
      <c r="F220" s="118">
        <f t="shared" si="51"/>
        <v>25000</v>
      </c>
      <c r="G220" s="118">
        <v>31000</v>
      </c>
      <c r="H220" s="118">
        <f t="shared" si="47"/>
        <v>0</v>
      </c>
      <c r="I220" s="159">
        <f t="shared" si="48"/>
        <v>0</v>
      </c>
      <c r="J220" s="118">
        <f t="shared" si="49"/>
        <v>6000</v>
      </c>
      <c r="K220" s="159">
        <f t="shared" si="50"/>
        <v>0.24</v>
      </c>
    </row>
    <row r="221" spans="1:11">
      <c r="A221" s="111" t="s">
        <v>51</v>
      </c>
      <c r="B221" s="108">
        <f>B222+B223</f>
        <v>306680</v>
      </c>
      <c r="C221" s="21"/>
      <c r="D221" s="108"/>
      <c r="E221" s="108">
        <f>E222+E223</f>
        <v>-58000</v>
      </c>
      <c r="F221" s="108">
        <f t="shared" si="51"/>
        <v>248680</v>
      </c>
      <c r="G221" s="108">
        <f>G222+G223</f>
        <v>263771</v>
      </c>
      <c r="H221" s="108">
        <f t="shared" si="47"/>
        <v>-42909</v>
      </c>
      <c r="I221" s="158">
        <f t="shared" si="48"/>
        <v>-0.13991456893178558</v>
      </c>
      <c r="J221" s="108">
        <f t="shared" si="49"/>
        <v>15091</v>
      </c>
      <c r="K221" s="158">
        <f t="shared" si="50"/>
        <v>6.0684413704359015E-2</v>
      </c>
    </row>
    <row r="222" spans="1:11">
      <c r="A222" s="82" t="s">
        <v>69</v>
      </c>
      <c r="B222" s="118">
        <v>228680</v>
      </c>
      <c r="C222" s="21"/>
      <c r="D222" s="118"/>
      <c r="E222" s="118">
        <v>-38000</v>
      </c>
      <c r="F222" s="118">
        <f t="shared" si="51"/>
        <v>190680</v>
      </c>
      <c r="G222" s="118">
        <v>189771</v>
      </c>
      <c r="H222" s="118">
        <f t="shared" si="47"/>
        <v>-38909</v>
      </c>
      <c r="I222" s="159">
        <f t="shared" si="48"/>
        <v>-0.17014605562357879</v>
      </c>
      <c r="J222" s="118">
        <f t="shared" si="49"/>
        <v>-909</v>
      </c>
      <c r="K222" s="159">
        <f t="shared" si="50"/>
        <v>-4.767149150409062E-3</v>
      </c>
    </row>
    <row r="223" spans="1:11">
      <c r="A223" s="82" t="s">
        <v>70</v>
      </c>
      <c r="B223" s="118">
        <v>78000</v>
      </c>
      <c r="C223" s="21"/>
      <c r="D223" s="118"/>
      <c r="E223" s="118">
        <v>-20000</v>
      </c>
      <c r="F223" s="118">
        <f t="shared" si="51"/>
        <v>58000</v>
      </c>
      <c r="G223" s="118">
        <v>74000</v>
      </c>
      <c r="H223" s="118">
        <f t="shared" si="47"/>
        <v>-4000</v>
      </c>
      <c r="I223" s="159">
        <f t="shared" si="48"/>
        <v>-5.128205128205128E-2</v>
      </c>
      <c r="J223" s="118">
        <f t="shared" si="49"/>
        <v>16000</v>
      </c>
      <c r="K223" s="159">
        <f t="shared" si="50"/>
        <v>0.27586206896551724</v>
      </c>
    </row>
    <row r="224" spans="1:11">
      <c r="A224" s="111" t="s">
        <v>58</v>
      </c>
      <c r="B224" s="108">
        <f t="shared" ref="B224" si="61">B225</f>
        <v>30000</v>
      </c>
      <c r="C224" s="21"/>
      <c r="D224" s="108"/>
      <c r="E224" s="108"/>
      <c r="F224" s="108">
        <f t="shared" si="51"/>
        <v>30000</v>
      </c>
      <c r="G224" s="108">
        <f t="shared" ref="G224" si="62">G225</f>
        <v>30000</v>
      </c>
      <c r="H224" s="108">
        <f t="shared" si="47"/>
        <v>0</v>
      </c>
      <c r="I224" s="158">
        <f t="shared" si="48"/>
        <v>0</v>
      </c>
      <c r="J224" s="108">
        <f t="shared" si="49"/>
        <v>0</v>
      </c>
      <c r="K224" s="158">
        <f t="shared" si="50"/>
        <v>0</v>
      </c>
    </row>
    <row r="225" spans="1:11">
      <c r="A225" s="82" t="s">
        <v>407</v>
      </c>
      <c r="B225" s="118">
        <v>30000</v>
      </c>
      <c r="C225" s="21"/>
      <c r="D225" s="118"/>
      <c r="E225" s="118"/>
      <c r="F225" s="118">
        <f t="shared" si="51"/>
        <v>30000</v>
      </c>
      <c r="G225" s="118">
        <v>30000</v>
      </c>
      <c r="H225" s="118">
        <f t="shared" si="47"/>
        <v>0</v>
      </c>
      <c r="I225" s="159">
        <f t="shared" si="48"/>
        <v>0</v>
      </c>
      <c r="J225" s="118">
        <f t="shared" si="49"/>
        <v>0</v>
      </c>
      <c r="K225" s="159">
        <f t="shared" si="50"/>
        <v>0</v>
      </c>
    </row>
    <row r="226" spans="1:11">
      <c r="A226" s="111" t="s">
        <v>52</v>
      </c>
      <c r="B226" s="108">
        <f t="shared" ref="B226" si="63">B227</f>
        <v>6600</v>
      </c>
      <c r="C226" s="21"/>
      <c r="D226" s="108"/>
      <c r="E226" s="108"/>
      <c r="F226" s="108">
        <f t="shared" si="51"/>
        <v>6600</v>
      </c>
      <c r="G226" s="108">
        <f t="shared" ref="G226" si="64">G227</f>
        <v>6600</v>
      </c>
      <c r="H226" s="108">
        <f t="shared" si="47"/>
        <v>0</v>
      </c>
      <c r="I226" s="158">
        <f t="shared" si="48"/>
        <v>0</v>
      </c>
      <c r="J226" s="108">
        <f t="shared" si="49"/>
        <v>0</v>
      </c>
      <c r="K226" s="158">
        <f t="shared" si="50"/>
        <v>0</v>
      </c>
    </row>
    <row r="227" spans="1:11">
      <c r="A227" s="83" t="s">
        <v>84</v>
      </c>
      <c r="B227" s="112">
        <v>6600</v>
      </c>
      <c r="C227" s="21"/>
      <c r="D227" s="112"/>
      <c r="E227" s="112"/>
      <c r="F227" s="112">
        <f t="shared" si="51"/>
        <v>6600</v>
      </c>
      <c r="G227" s="112">
        <v>6600</v>
      </c>
      <c r="H227" s="112">
        <f t="shared" si="47"/>
        <v>0</v>
      </c>
      <c r="I227" s="186">
        <f t="shared" si="48"/>
        <v>0</v>
      </c>
      <c r="J227" s="112">
        <f t="shared" si="49"/>
        <v>0</v>
      </c>
      <c r="K227" s="186">
        <f t="shared" si="50"/>
        <v>0</v>
      </c>
    </row>
    <row r="228" spans="1:11">
      <c r="A228" s="111"/>
      <c r="B228" s="108"/>
      <c r="C228" s="21"/>
      <c r="D228" s="108"/>
      <c r="E228" s="108"/>
      <c r="F228" s="108">
        <f t="shared" si="51"/>
        <v>0</v>
      </c>
      <c r="G228" s="252"/>
      <c r="H228" s="108">
        <f t="shared" si="47"/>
        <v>0</v>
      </c>
      <c r="I228" s="158"/>
      <c r="J228" s="108">
        <f t="shared" si="49"/>
        <v>0</v>
      </c>
      <c r="K228" s="158" t="str">
        <f t="shared" si="50"/>
        <v/>
      </c>
    </row>
    <row r="229" spans="1:11">
      <c r="A229" s="111" t="s">
        <v>592</v>
      </c>
      <c r="B229" s="108">
        <f>B230+B234+B237</f>
        <v>93640</v>
      </c>
      <c r="C229" s="21"/>
      <c r="D229" s="108"/>
      <c r="E229" s="108">
        <f>E230+E234+E237</f>
        <v>-7725</v>
      </c>
      <c r="F229" s="108">
        <f t="shared" si="51"/>
        <v>85915</v>
      </c>
      <c r="G229" s="108">
        <f>G230+G234+G237</f>
        <v>94050</v>
      </c>
      <c r="H229" s="108">
        <f t="shared" si="47"/>
        <v>410</v>
      </c>
      <c r="I229" s="158">
        <f t="shared" si="48"/>
        <v>4.3784707390004275E-3</v>
      </c>
      <c r="J229" s="108">
        <f t="shared" si="49"/>
        <v>8135</v>
      </c>
      <c r="K229" s="158">
        <f t="shared" si="50"/>
        <v>9.4686608857591809E-2</v>
      </c>
    </row>
    <row r="230" spans="1:11">
      <c r="A230" s="111" t="s">
        <v>56</v>
      </c>
      <c r="B230" s="108">
        <f t="shared" ref="B230" si="65">SUM(B231:B233)</f>
        <v>79770</v>
      </c>
      <c r="C230" s="21"/>
      <c r="D230" s="108"/>
      <c r="E230" s="108">
        <f t="shared" ref="E230:G230" si="66">SUM(E231:E233)</f>
        <v>-6000</v>
      </c>
      <c r="F230" s="108">
        <f t="shared" si="51"/>
        <v>73770</v>
      </c>
      <c r="G230" s="108">
        <f t="shared" si="66"/>
        <v>79674</v>
      </c>
      <c r="H230" s="108">
        <f t="shared" si="47"/>
        <v>-96</v>
      </c>
      <c r="I230" s="158">
        <f t="shared" si="48"/>
        <v>-1.2034599473486273E-3</v>
      </c>
      <c r="J230" s="108">
        <f t="shared" si="49"/>
        <v>5904</v>
      </c>
      <c r="K230" s="158">
        <f t="shared" si="50"/>
        <v>8.0032533550223661E-2</v>
      </c>
    </row>
    <row r="231" spans="1:11">
      <c r="A231" s="82" t="s">
        <v>85</v>
      </c>
      <c r="B231" s="118">
        <v>74420</v>
      </c>
      <c r="C231" s="21"/>
      <c r="D231" s="118"/>
      <c r="E231" s="118">
        <v>-4000</v>
      </c>
      <c r="F231" s="118">
        <f t="shared" si="51"/>
        <v>70420</v>
      </c>
      <c r="G231" s="118">
        <v>74420</v>
      </c>
      <c r="H231" s="118">
        <f t="shared" si="47"/>
        <v>0</v>
      </c>
      <c r="I231" s="159">
        <f t="shared" si="48"/>
        <v>0</v>
      </c>
      <c r="J231" s="118">
        <f t="shared" si="49"/>
        <v>4000</v>
      </c>
      <c r="K231" s="159">
        <f t="shared" si="50"/>
        <v>5.6802044873615447E-2</v>
      </c>
    </row>
    <row r="232" spans="1:11">
      <c r="A232" s="82" t="s">
        <v>181</v>
      </c>
      <c r="B232" s="118">
        <v>660</v>
      </c>
      <c r="C232" s="21"/>
      <c r="D232" s="118"/>
      <c r="E232" s="118"/>
      <c r="F232" s="118">
        <f t="shared" si="51"/>
        <v>660</v>
      </c>
      <c r="G232" s="118">
        <v>660</v>
      </c>
      <c r="H232" s="118">
        <f t="shared" si="47"/>
        <v>0</v>
      </c>
      <c r="I232" s="159">
        <f t="shared" si="48"/>
        <v>0</v>
      </c>
      <c r="J232" s="118">
        <f t="shared" si="49"/>
        <v>0</v>
      </c>
      <c r="K232" s="159">
        <f t="shared" si="50"/>
        <v>0</v>
      </c>
    </row>
    <row r="233" spans="1:11">
      <c r="A233" s="82" t="s">
        <v>180</v>
      </c>
      <c r="B233" s="118">
        <v>4690</v>
      </c>
      <c r="C233" s="21"/>
      <c r="D233" s="118"/>
      <c r="E233" s="118">
        <v>-2000</v>
      </c>
      <c r="F233" s="118">
        <f t="shared" si="51"/>
        <v>2690</v>
      </c>
      <c r="G233" s="118">
        <v>4594</v>
      </c>
      <c r="H233" s="118">
        <f t="shared" si="47"/>
        <v>-96</v>
      </c>
      <c r="I233" s="159">
        <f t="shared" si="48"/>
        <v>-2.0469083155650322E-2</v>
      </c>
      <c r="J233" s="118">
        <f t="shared" si="49"/>
        <v>1904</v>
      </c>
      <c r="K233" s="159">
        <f t="shared" si="50"/>
        <v>0.70780669144981412</v>
      </c>
    </row>
    <row r="234" spans="1:11">
      <c r="A234" s="111" t="s">
        <v>59</v>
      </c>
      <c r="B234" s="108">
        <f t="shared" ref="B234" si="67">B235+B236</f>
        <v>1235</v>
      </c>
      <c r="C234" s="21"/>
      <c r="D234" s="108"/>
      <c r="E234" s="108">
        <f t="shared" ref="E234:G234" si="68">E235+E236</f>
        <v>200</v>
      </c>
      <c r="F234" s="108">
        <f t="shared" si="51"/>
        <v>1435</v>
      </c>
      <c r="G234" s="108">
        <f t="shared" si="68"/>
        <v>1230</v>
      </c>
      <c r="H234" s="108">
        <f t="shared" si="47"/>
        <v>-5</v>
      </c>
      <c r="I234" s="158">
        <f t="shared" si="48"/>
        <v>-4.048582995951417E-3</v>
      </c>
      <c r="J234" s="108">
        <f t="shared" si="49"/>
        <v>-205</v>
      </c>
      <c r="K234" s="158">
        <f t="shared" si="50"/>
        <v>-0.14285714285714285</v>
      </c>
    </row>
    <row r="235" spans="1:11">
      <c r="A235" s="82" t="s">
        <v>86</v>
      </c>
      <c r="B235" s="118">
        <v>470</v>
      </c>
      <c r="C235" s="21"/>
      <c r="D235" s="118"/>
      <c r="E235" s="118"/>
      <c r="F235" s="118">
        <f t="shared" si="51"/>
        <v>470</v>
      </c>
      <c r="G235" s="118">
        <v>470</v>
      </c>
      <c r="H235" s="118">
        <f t="shared" si="47"/>
        <v>0</v>
      </c>
      <c r="I235" s="159">
        <f t="shared" si="48"/>
        <v>0</v>
      </c>
      <c r="J235" s="118">
        <f t="shared" si="49"/>
        <v>0</v>
      </c>
      <c r="K235" s="159">
        <f t="shared" si="50"/>
        <v>0</v>
      </c>
    </row>
    <row r="236" spans="1:11">
      <c r="A236" s="82" t="s">
        <v>70</v>
      </c>
      <c r="B236" s="118">
        <v>765</v>
      </c>
      <c r="C236" s="21"/>
      <c r="D236" s="118"/>
      <c r="E236" s="118">
        <v>200</v>
      </c>
      <c r="F236" s="118">
        <f t="shared" si="51"/>
        <v>965</v>
      </c>
      <c r="G236" s="118">
        <v>760</v>
      </c>
      <c r="H236" s="118">
        <f t="shared" si="47"/>
        <v>-5</v>
      </c>
      <c r="I236" s="159">
        <f t="shared" si="48"/>
        <v>-6.5359477124183009E-3</v>
      </c>
      <c r="J236" s="118">
        <f t="shared" si="49"/>
        <v>-205</v>
      </c>
      <c r="K236" s="159">
        <f t="shared" si="50"/>
        <v>-0.21243523316062177</v>
      </c>
    </row>
    <row r="237" spans="1:11">
      <c r="A237" s="111" t="s">
        <v>51</v>
      </c>
      <c r="B237" s="108">
        <f t="shared" ref="B237" si="69">B238</f>
        <v>12635</v>
      </c>
      <c r="C237" s="21"/>
      <c r="D237" s="108"/>
      <c r="E237" s="108">
        <f t="shared" ref="E237:G237" si="70">E238</f>
        <v>-1925</v>
      </c>
      <c r="F237" s="108">
        <f t="shared" si="51"/>
        <v>10710</v>
      </c>
      <c r="G237" s="108">
        <f t="shared" si="70"/>
        <v>13146</v>
      </c>
      <c r="H237" s="108">
        <f t="shared" si="47"/>
        <v>511</v>
      </c>
      <c r="I237" s="158">
        <f t="shared" si="48"/>
        <v>4.044321329639889E-2</v>
      </c>
      <c r="J237" s="108">
        <f t="shared" si="49"/>
        <v>2436</v>
      </c>
      <c r="K237" s="158">
        <f t="shared" si="50"/>
        <v>0.22745098039215686</v>
      </c>
    </row>
    <row r="238" spans="1:11">
      <c r="A238" s="82" t="s">
        <v>69</v>
      </c>
      <c r="B238" s="118">
        <v>12635</v>
      </c>
      <c r="C238" s="21"/>
      <c r="D238" s="118"/>
      <c r="E238" s="118">
        <v>-1925</v>
      </c>
      <c r="F238" s="118">
        <f t="shared" si="51"/>
        <v>10710</v>
      </c>
      <c r="G238" s="118">
        <v>13146</v>
      </c>
      <c r="H238" s="118">
        <f t="shared" si="47"/>
        <v>511</v>
      </c>
      <c r="I238" s="159">
        <f t="shared" si="48"/>
        <v>4.044321329639889E-2</v>
      </c>
      <c r="J238" s="118">
        <f t="shared" si="49"/>
        <v>2436</v>
      </c>
      <c r="K238" s="159">
        <f t="shared" si="50"/>
        <v>0.22745098039215686</v>
      </c>
    </row>
    <row r="239" spans="1:11">
      <c r="A239" s="167"/>
      <c r="B239" s="168"/>
      <c r="C239" s="168"/>
      <c r="D239" s="168"/>
      <c r="E239" s="168"/>
      <c r="F239" s="168">
        <f t="shared" si="51"/>
        <v>0</v>
      </c>
      <c r="G239" s="257"/>
      <c r="H239" s="168">
        <f t="shared" si="47"/>
        <v>0</v>
      </c>
      <c r="I239" s="191"/>
      <c r="J239" s="168">
        <f t="shared" si="49"/>
        <v>0</v>
      </c>
      <c r="K239" s="191" t="str">
        <f t="shared" si="50"/>
        <v/>
      </c>
    </row>
    <row r="240" spans="1:11">
      <c r="A240" s="119" t="s">
        <v>593</v>
      </c>
      <c r="B240" s="120">
        <f>B241+B245+B248</f>
        <v>951690</v>
      </c>
      <c r="C240" s="120">
        <f>C241+C245+C248</f>
        <v>0</v>
      </c>
      <c r="D240" s="120">
        <f>D241+D245+D248</f>
        <v>72060</v>
      </c>
      <c r="E240" s="120">
        <f>E241+E245+E248</f>
        <v>13200</v>
      </c>
      <c r="F240" s="120">
        <f t="shared" si="51"/>
        <v>1036950</v>
      </c>
      <c r="G240" s="120">
        <f>G241+G245+G248</f>
        <v>1038690</v>
      </c>
      <c r="H240" s="120">
        <f t="shared" si="47"/>
        <v>87000</v>
      </c>
      <c r="I240" s="187">
        <f t="shared" si="48"/>
        <v>9.1416322542004227E-2</v>
      </c>
      <c r="J240" s="120">
        <f t="shared" si="49"/>
        <v>1740</v>
      </c>
      <c r="K240" s="187">
        <f t="shared" si="50"/>
        <v>1.6779979748300304E-3</v>
      </c>
    </row>
    <row r="241" spans="1:11">
      <c r="A241" s="111" t="s">
        <v>56</v>
      </c>
      <c r="B241" s="108">
        <f>B242+B243+B244</f>
        <v>864000</v>
      </c>
      <c r="C241" s="108">
        <f>C242+C243+C244</f>
        <v>0</v>
      </c>
      <c r="D241" s="108">
        <f>D242+D243+D244</f>
        <v>73000</v>
      </c>
      <c r="E241" s="108">
        <f>E242+E243+E244</f>
        <v>13200</v>
      </c>
      <c r="F241" s="108">
        <f t="shared" si="51"/>
        <v>950200</v>
      </c>
      <c r="G241" s="108">
        <f>G242+G243+G244</f>
        <v>939500</v>
      </c>
      <c r="H241" s="108">
        <f t="shared" si="47"/>
        <v>75500</v>
      </c>
      <c r="I241" s="158">
        <f t="shared" si="48"/>
        <v>8.7384259259259259E-2</v>
      </c>
      <c r="J241" s="108">
        <f t="shared" si="49"/>
        <v>-10700</v>
      </c>
      <c r="K241" s="158">
        <f t="shared" si="50"/>
        <v>-1.126078720269417E-2</v>
      </c>
    </row>
    <row r="242" spans="1:11">
      <c r="A242" s="82" t="s">
        <v>85</v>
      </c>
      <c r="B242" s="118">
        <v>857000</v>
      </c>
      <c r="C242" s="21"/>
      <c r="D242" s="118">
        <v>73000</v>
      </c>
      <c r="E242" s="118">
        <v>13200</v>
      </c>
      <c r="F242" s="118">
        <f t="shared" si="51"/>
        <v>943200</v>
      </c>
      <c r="G242" s="118">
        <v>930000</v>
      </c>
      <c r="H242" s="118">
        <f t="shared" si="47"/>
        <v>73000</v>
      </c>
      <c r="I242" s="159">
        <f t="shared" si="48"/>
        <v>8.518086347724621E-2</v>
      </c>
      <c r="J242" s="118">
        <f t="shared" si="49"/>
        <v>-13200</v>
      </c>
      <c r="K242" s="159">
        <f t="shared" si="50"/>
        <v>-1.3994910941475827E-2</v>
      </c>
    </row>
    <row r="243" spans="1:11">
      <c r="A243" s="82" t="s">
        <v>181</v>
      </c>
      <c r="B243" s="118">
        <v>4500</v>
      </c>
      <c r="C243" s="21"/>
      <c r="D243" s="118"/>
      <c r="E243" s="118"/>
      <c r="F243" s="118">
        <f t="shared" si="51"/>
        <v>4500</v>
      </c>
      <c r="G243" s="118">
        <v>5500</v>
      </c>
      <c r="H243" s="118">
        <f t="shared" si="47"/>
        <v>1000</v>
      </c>
      <c r="I243" s="159">
        <f t="shared" si="48"/>
        <v>0.22222222222222221</v>
      </c>
      <c r="J243" s="118">
        <f t="shared" si="49"/>
        <v>1000</v>
      </c>
      <c r="K243" s="159">
        <f t="shared" si="50"/>
        <v>0.22222222222222221</v>
      </c>
    </row>
    <row r="244" spans="1:11">
      <c r="A244" s="82" t="s">
        <v>180</v>
      </c>
      <c r="B244" s="118">
        <v>2500</v>
      </c>
      <c r="C244" s="21"/>
      <c r="D244" s="118"/>
      <c r="E244" s="118"/>
      <c r="F244" s="118">
        <f t="shared" si="51"/>
        <v>2500</v>
      </c>
      <c r="G244" s="118">
        <v>4000</v>
      </c>
      <c r="H244" s="118">
        <f t="shared" si="47"/>
        <v>1500</v>
      </c>
      <c r="I244" s="159">
        <f t="shared" si="48"/>
        <v>0.6</v>
      </c>
      <c r="J244" s="118">
        <f t="shared" si="49"/>
        <v>1500</v>
      </c>
      <c r="K244" s="159">
        <f t="shared" si="50"/>
        <v>0.6</v>
      </c>
    </row>
    <row r="245" spans="1:11">
      <c r="A245" s="111" t="s">
        <v>51</v>
      </c>
      <c r="B245" s="108">
        <f>B246+B247</f>
        <v>86940</v>
      </c>
      <c r="C245" s="21"/>
      <c r="D245" s="108">
        <f>D246+D247</f>
        <v>-940</v>
      </c>
      <c r="E245" s="108"/>
      <c r="F245" s="108">
        <f t="shared" si="51"/>
        <v>86000</v>
      </c>
      <c r="G245" s="108">
        <f>G246+G247</f>
        <v>98440</v>
      </c>
      <c r="H245" s="108">
        <f t="shared" si="47"/>
        <v>11500</v>
      </c>
      <c r="I245" s="158">
        <f t="shared" si="48"/>
        <v>0.13227513227513227</v>
      </c>
      <c r="J245" s="108">
        <f t="shared" si="49"/>
        <v>12440</v>
      </c>
      <c r="K245" s="158">
        <f t="shared" si="50"/>
        <v>0.14465116279069767</v>
      </c>
    </row>
    <row r="246" spans="1:11">
      <c r="A246" s="82" t="s">
        <v>69</v>
      </c>
      <c r="B246" s="118">
        <v>66660</v>
      </c>
      <c r="C246" s="21"/>
      <c r="D246" s="118">
        <v>-7480</v>
      </c>
      <c r="E246" s="118"/>
      <c r="F246" s="118">
        <f t="shared" si="51"/>
        <v>59180</v>
      </c>
      <c r="G246" s="118">
        <v>68195</v>
      </c>
      <c r="H246" s="118">
        <f t="shared" si="47"/>
        <v>1535</v>
      </c>
      <c r="I246" s="159">
        <f t="shared" si="48"/>
        <v>2.3027302730273026E-2</v>
      </c>
      <c r="J246" s="118">
        <f t="shared" si="49"/>
        <v>9015</v>
      </c>
      <c r="K246" s="159">
        <f t="shared" si="50"/>
        <v>0.1523318688746198</v>
      </c>
    </row>
    <row r="247" spans="1:11">
      <c r="A247" s="82" t="s">
        <v>70</v>
      </c>
      <c r="B247" s="118">
        <v>20280</v>
      </c>
      <c r="C247" s="21"/>
      <c r="D247" s="118">
        <v>6540</v>
      </c>
      <c r="E247" s="118"/>
      <c r="F247" s="118">
        <f t="shared" si="51"/>
        <v>26820</v>
      </c>
      <c r="G247" s="118">
        <v>30245</v>
      </c>
      <c r="H247" s="118">
        <f t="shared" si="47"/>
        <v>9965</v>
      </c>
      <c r="I247" s="159">
        <f t="shared" si="48"/>
        <v>0.49137080867850097</v>
      </c>
      <c r="J247" s="118">
        <f t="shared" si="49"/>
        <v>3425</v>
      </c>
      <c r="K247" s="159">
        <f t="shared" si="50"/>
        <v>0.12770320656226697</v>
      </c>
    </row>
    <row r="248" spans="1:11">
      <c r="A248" s="90" t="s">
        <v>52</v>
      </c>
      <c r="B248" s="81">
        <f t="shared" ref="B248" si="71">B249</f>
        <v>750</v>
      </c>
      <c r="C248" s="21"/>
      <c r="D248" s="81"/>
      <c r="E248" s="81"/>
      <c r="F248" s="81">
        <f t="shared" si="51"/>
        <v>750</v>
      </c>
      <c r="G248" s="81">
        <f t="shared" ref="G248" si="72">G249</f>
        <v>750</v>
      </c>
      <c r="H248" s="81">
        <f t="shared" si="47"/>
        <v>0</v>
      </c>
      <c r="I248" s="92">
        <f t="shared" si="48"/>
        <v>0</v>
      </c>
      <c r="J248" s="81">
        <f t="shared" si="49"/>
        <v>0</v>
      </c>
      <c r="K248" s="92">
        <f t="shared" si="50"/>
        <v>0</v>
      </c>
    </row>
    <row r="249" spans="1:11">
      <c r="A249" s="83" t="s">
        <v>84</v>
      </c>
      <c r="B249" s="112">
        <v>750</v>
      </c>
      <c r="C249" s="21"/>
      <c r="D249" s="112"/>
      <c r="E249" s="112"/>
      <c r="F249" s="112">
        <f t="shared" si="51"/>
        <v>750</v>
      </c>
      <c r="G249" s="118">
        <v>750</v>
      </c>
      <c r="H249" s="112">
        <f t="shared" si="47"/>
        <v>0</v>
      </c>
      <c r="I249" s="186">
        <f t="shared" si="48"/>
        <v>0</v>
      </c>
      <c r="J249" s="112">
        <f t="shared" si="49"/>
        <v>0</v>
      </c>
      <c r="K249" s="186">
        <f t="shared" si="50"/>
        <v>0</v>
      </c>
    </row>
    <row r="250" spans="1:11">
      <c r="A250" s="82"/>
      <c r="B250" s="118"/>
      <c r="C250" s="21"/>
      <c r="D250" s="118"/>
      <c r="E250" s="118"/>
      <c r="F250" s="118">
        <f t="shared" si="51"/>
        <v>0</v>
      </c>
      <c r="G250" s="253"/>
      <c r="H250" s="118">
        <f t="shared" si="47"/>
        <v>0</v>
      </c>
      <c r="I250" s="159"/>
      <c r="J250" s="118">
        <f t="shared" si="49"/>
        <v>0</v>
      </c>
      <c r="K250" s="159" t="str">
        <f t="shared" si="50"/>
        <v/>
      </c>
    </row>
    <row r="251" spans="1:11">
      <c r="A251" s="111" t="s">
        <v>594</v>
      </c>
      <c r="B251" s="108">
        <f>B252+B256+B259</f>
        <v>273430</v>
      </c>
      <c r="C251" s="21"/>
      <c r="D251" s="108"/>
      <c r="E251" s="108">
        <f>E252+E256+E259</f>
        <v>12000</v>
      </c>
      <c r="F251" s="108">
        <f t="shared" si="51"/>
        <v>285430</v>
      </c>
      <c r="G251" s="108">
        <f>G252+G256+G259</f>
        <v>275530</v>
      </c>
      <c r="H251" s="108">
        <f t="shared" si="47"/>
        <v>2100</v>
      </c>
      <c r="I251" s="158">
        <f t="shared" si="48"/>
        <v>7.680210657206598E-3</v>
      </c>
      <c r="J251" s="108">
        <f t="shared" si="49"/>
        <v>-9900</v>
      </c>
      <c r="K251" s="158">
        <f t="shared" si="50"/>
        <v>-3.4684511088533092E-2</v>
      </c>
    </row>
    <row r="252" spans="1:11">
      <c r="A252" s="111" t="s">
        <v>56</v>
      </c>
      <c r="B252" s="108">
        <f t="shared" ref="B252" si="73">SUM(B253:B255)</f>
        <v>208950</v>
      </c>
      <c r="C252" s="21"/>
      <c r="D252" s="108"/>
      <c r="E252" s="108">
        <f t="shared" ref="E252:G252" si="74">SUM(E253:E255)</f>
        <v>5000</v>
      </c>
      <c r="F252" s="108">
        <f t="shared" si="51"/>
        <v>213950</v>
      </c>
      <c r="G252" s="108">
        <f t="shared" si="74"/>
        <v>208950</v>
      </c>
      <c r="H252" s="108">
        <f t="shared" si="47"/>
        <v>0</v>
      </c>
      <c r="I252" s="158">
        <f t="shared" si="48"/>
        <v>0</v>
      </c>
      <c r="J252" s="108">
        <f t="shared" si="49"/>
        <v>-5000</v>
      </c>
      <c r="K252" s="158">
        <f t="shared" si="50"/>
        <v>-2.3369946249123627E-2</v>
      </c>
    </row>
    <row r="253" spans="1:11">
      <c r="A253" s="82" t="s">
        <v>85</v>
      </c>
      <c r="B253" s="118">
        <v>99900</v>
      </c>
      <c r="C253" s="21"/>
      <c r="D253" s="118"/>
      <c r="E253" s="118">
        <v>5000</v>
      </c>
      <c r="F253" s="118">
        <f t="shared" si="51"/>
        <v>104900</v>
      </c>
      <c r="G253" s="118">
        <v>99900</v>
      </c>
      <c r="H253" s="118">
        <f t="shared" si="47"/>
        <v>0</v>
      </c>
      <c r="I253" s="159">
        <f t="shared" si="48"/>
        <v>0</v>
      </c>
      <c r="J253" s="118">
        <f t="shared" si="49"/>
        <v>-5000</v>
      </c>
      <c r="K253" s="159">
        <f t="shared" si="50"/>
        <v>-4.7664442326024785E-2</v>
      </c>
    </row>
    <row r="254" spans="1:11">
      <c r="A254" s="82" t="s">
        <v>181</v>
      </c>
      <c r="B254" s="118">
        <v>3750</v>
      </c>
      <c r="C254" s="21"/>
      <c r="D254" s="118"/>
      <c r="E254" s="118"/>
      <c r="F254" s="118">
        <f t="shared" si="51"/>
        <v>3750</v>
      </c>
      <c r="G254" s="118">
        <v>3750</v>
      </c>
      <c r="H254" s="118">
        <f t="shared" si="47"/>
        <v>0</v>
      </c>
      <c r="I254" s="159">
        <f t="shared" si="48"/>
        <v>0</v>
      </c>
      <c r="J254" s="118">
        <f t="shared" si="49"/>
        <v>0</v>
      </c>
      <c r="K254" s="159">
        <f t="shared" si="50"/>
        <v>0</v>
      </c>
    </row>
    <row r="255" spans="1:11">
      <c r="A255" s="82" t="s">
        <v>180</v>
      </c>
      <c r="B255" s="118">
        <v>105300</v>
      </c>
      <c r="C255" s="21"/>
      <c r="D255" s="118"/>
      <c r="E255" s="118"/>
      <c r="F255" s="118">
        <f t="shared" si="51"/>
        <v>105300</v>
      </c>
      <c r="G255" s="118">
        <v>105300</v>
      </c>
      <c r="H255" s="118">
        <f t="shared" si="47"/>
        <v>0</v>
      </c>
      <c r="I255" s="159">
        <f t="shared" si="48"/>
        <v>0</v>
      </c>
      <c r="J255" s="118">
        <f t="shared" si="49"/>
        <v>0</v>
      </c>
      <c r="K255" s="159">
        <f t="shared" si="50"/>
        <v>0</v>
      </c>
    </row>
    <row r="256" spans="1:11">
      <c r="A256" s="111" t="s">
        <v>51</v>
      </c>
      <c r="B256" s="108">
        <f t="shared" ref="B256" si="75">B257+B258</f>
        <v>62680</v>
      </c>
      <c r="C256" s="21"/>
      <c r="D256" s="108"/>
      <c r="E256" s="108">
        <f t="shared" ref="E256:G256" si="76">E257+E258</f>
        <v>7000</v>
      </c>
      <c r="F256" s="108">
        <f t="shared" si="51"/>
        <v>69680</v>
      </c>
      <c r="G256" s="108">
        <f t="shared" si="76"/>
        <v>64780</v>
      </c>
      <c r="H256" s="108">
        <f t="shared" si="47"/>
        <v>2100</v>
      </c>
      <c r="I256" s="158">
        <f t="shared" si="48"/>
        <v>3.3503509891512441E-2</v>
      </c>
      <c r="J256" s="108">
        <f t="shared" si="49"/>
        <v>-4900</v>
      </c>
      <c r="K256" s="158">
        <f t="shared" si="50"/>
        <v>-7.0321469575200912E-2</v>
      </c>
    </row>
    <row r="257" spans="1:11">
      <c r="A257" s="82" t="s">
        <v>69</v>
      </c>
      <c r="B257" s="118">
        <v>48115</v>
      </c>
      <c r="C257" s="21"/>
      <c r="D257" s="118"/>
      <c r="E257" s="118"/>
      <c r="F257" s="118">
        <f t="shared" si="51"/>
        <v>48115</v>
      </c>
      <c r="G257" s="118">
        <v>49780</v>
      </c>
      <c r="H257" s="118">
        <f t="shared" ref="H257:H320" si="77">G257-B257</f>
        <v>1665</v>
      </c>
      <c r="I257" s="159">
        <f t="shared" ref="I257:I320" si="78">H257/B257</f>
        <v>3.4604593162215529E-2</v>
      </c>
      <c r="J257" s="118">
        <f t="shared" ref="J257:J320" si="79">G257-F257</f>
        <v>1665</v>
      </c>
      <c r="K257" s="159">
        <f t="shared" ref="K257:K320" si="80">IF(G257=0,"",J257/F257)</f>
        <v>3.4604593162215529E-2</v>
      </c>
    </row>
    <row r="258" spans="1:11">
      <c r="A258" s="82" t="s">
        <v>70</v>
      </c>
      <c r="B258" s="118">
        <v>14565</v>
      </c>
      <c r="C258" s="21"/>
      <c r="D258" s="118"/>
      <c r="E258" s="118">
        <v>7000</v>
      </c>
      <c r="F258" s="118">
        <f t="shared" si="51"/>
        <v>21565</v>
      </c>
      <c r="G258" s="118">
        <v>15000</v>
      </c>
      <c r="H258" s="118">
        <f t="shared" si="77"/>
        <v>435</v>
      </c>
      <c r="I258" s="159">
        <f t="shared" si="78"/>
        <v>2.9866117404737384E-2</v>
      </c>
      <c r="J258" s="118">
        <f t="shared" si="79"/>
        <v>-6565</v>
      </c>
      <c r="K258" s="159">
        <f t="shared" si="80"/>
        <v>-0.30442847206121032</v>
      </c>
    </row>
    <row r="259" spans="1:11">
      <c r="A259" s="111" t="s">
        <v>52</v>
      </c>
      <c r="B259" s="108">
        <f>B260</f>
        <v>1800</v>
      </c>
      <c r="C259" s="21"/>
      <c r="D259" s="108"/>
      <c r="E259" s="108"/>
      <c r="F259" s="108">
        <f t="shared" si="51"/>
        <v>1800</v>
      </c>
      <c r="G259" s="108">
        <f>G260</f>
        <v>1800</v>
      </c>
      <c r="H259" s="108">
        <f t="shared" si="77"/>
        <v>0</v>
      </c>
      <c r="I259" s="158">
        <f t="shared" si="78"/>
        <v>0</v>
      </c>
      <c r="J259" s="108">
        <f t="shared" si="79"/>
        <v>0</v>
      </c>
      <c r="K259" s="158">
        <f t="shared" si="80"/>
        <v>0</v>
      </c>
    </row>
    <row r="260" spans="1:11">
      <c r="A260" s="83" t="s">
        <v>84</v>
      </c>
      <c r="B260" s="112">
        <v>1800</v>
      </c>
      <c r="C260" s="21"/>
      <c r="D260" s="112"/>
      <c r="E260" s="112"/>
      <c r="F260" s="112">
        <f t="shared" si="51"/>
        <v>1800</v>
      </c>
      <c r="G260" s="112">
        <v>1800</v>
      </c>
      <c r="H260" s="112">
        <f t="shared" si="77"/>
        <v>0</v>
      </c>
      <c r="I260" s="186">
        <f t="shared" si="78"/>
        <v>0</v>
      </c>
      <c r="J260" s="112">
        <f t="shared" si="79"/>
        <v>0</v>
      </c>
      <c r="K260" s="186">
        <f t="shared" si="80"/>
        <v>0</v>
      </c>
    </row>
    <row r="261" spans="1:11">
      <c r="A261" s="82"/>
      <c r="B261" s="118"/>
      <c r="C261" s="21"/>
      <c r="D261" s="118"/>
      <c r="E261" s="118"/>
      <c r="F261" s="118">
        <f t="shared" si="51"/>
        <v>0</v>
      </c>
      <c r="G261" s="253"/>
      <c r="H261" s="118">
        <f t="shared" si="77"/>
        <v>0</v>
      </c>
      <c r="I261" s="159"/>
      <c r="J261" s="118">
        <f t="shared" si="79"/>
        <v>0</v>
      </c>
      <c r="K261" s="159" t="str">
        <f t="shared" si="80"/>
        <v/>
      </c>
    </row>
    <row r="262" spans="1:11">
      <c r="A262" s="90" t="s">
        <v>596</v>
      </c>
      <c r="B262" s="81">
        <f t="shared" ref="B262:B263" si="81">B263</f>
        <v>5260</v>
      </c>
      <c r="C262" s="21"/>
      <c r="D262" s="81"/>
      <c r="E262" s="81"/>
      <c r="F262" s="81">
        <f t="shared" si="51"/>
        <v>5260</v>
      </c>
      <c r="G262" s="81">
        <f t="shared" ref="G262:G263" si="82">G263</f>
        <v>5415</v>
      </c>
      <c r="H262" s="81">
        <f t="shared" si="77"/>
        <v>155</v>
      </c>
      <c r="I262" s="92">
        <f t="shared" si="78"/>
        <v>2.9467680608365018E-2</v>
      </c>
      <c r="J262" s="81">
        <f t="shared" si="79"/>
        <v>155</v>
      </c>
      <c r="K262" s="92">
        <f t="shared" si="80"/>
        <v>2.9467680608365018E-2</v>
      </c>
    </row>
    <row r="263" spans="1:11">
      <c r="A263" s="111" t="s">
        <v>51</v>
      </c>
      <c r="B263" s="108">
        <f t="shared" si="81"/>
        <v>5260</v>
      </c>
      <c r="C263" s="21"/>
      <c r="D263" s="108"/>
      <c r="E263" s="108"/>
      <c r="F263" s="108">
        <f t="shared" ref="F263:F326" si="83">SUM(B263:E263)</f>
        <v>5260</v>
      </c>
      <c r="G263" s="108">
        <f t="shared" si="82"/>
        <v>5415</v>
      </c>
      <c r="H263" s="108">
        <f t="shared" si="77"/>
        <v>155</v>
      </c>
      <c r="I263" s="158">
        <f t="shared" si="78"/>
        <v>2.9467680608365018E-2</v>
      </c>
      <c r="J263" s="108">
        <f t="shared" si="79"/>
        <v>155</v>
      </c>
      <c r="K263" s="158">
        <f t="shared" si="80"/>
        <v>2.9467680608365018E-2</v>
      </c>
    </row>
    <row r="264" spans="1:11">
      <c r="A264" s="82" t="s">
        <v>182</v>
      </c>
      <c r="B264" s="118">
        <v>5260</v>
      </c>
      <c r="C264" s="21"/>
      <c r="D264" s="118"/>
      <c r="E264" s="118"/>
      <c r="F264" s="118">
        <f t="shared" si="83"/>
        <v>5260</v>
      </c>
      <c r="G264" s="118">
        <v>5415</v>
      </c>
      <c r="H264" s="118">
        <f t="shared" si="77"/>
        <v>155</v>
      </c>
      <c r="I264" s="159">
        <f t="shared" si="78"/>
        <v>2.9467680608365018E-2</v>
      </c>
      <c r="J264" s="118">
        <f t="shared" si="79"/>
        <v>155</v>
      </c>
      <c r="K264" s="159">
        <f t="shared" si="80"/>
        <v>2.9467680608365018E-2</v>
      </c>
    </row>
    <row r="265" spans="1:11">
      <c r="A265" s="82"/>
      <c r="B265" s="118"/>
      <c r="C265" s="21"/>
      <c r="D265" s="118"/>
      <c r="E265" s="118"/>
      <c r="F265" s="118">
        <f t="shared" si="83"/>
        <v>0</v>
      </c>
      <c r="G265" s="118"/>
      <c r="H265" s="118">
        <f t="shared" si="77"/>
        <v>0</v>
      </c>
      <c r="I265" s="159"/>
      <c r="J265" s="118">
        <f t="shared" si="79"/>
        <v>0</v>
      </c>
      <c r="K265" s="159" t="str">
        <f t="shared" si="80"/>
        <v/>
      </c>
    </row>
    <row r="266" spans="1:11">
      <c r="A266" s="111" t="s">
        <v>595</v>
      </c>
      <c r="B266" s="108">
        <f>B267+B271+B274</f>
        <v>1206380</v>
      </c>
      <c r="C266" s="21"/>
      <c r="D266" s="108"/>
      <c r="E266" s="108">
        <f>E267+E271+E274</f>
        <v>-33025</v>
      </c>
      <c r="F266" s="108">
        <f t="shared" si="83"/>
        <v>1173355</v>
      </c>
      <c r="G266" s="108">
        <f>G267+G271+G274</f>
        <v>1314724</v>
      </c>
      <c r="H266" s="108">
        <f t="shared" si="77"/>
        <v>108344</v>
      </c>
      <c r="I266" s="158">
        <f t="shared" si="78"/>
        <v>8.9809181186690762E-2</v>
      </c>
      <c r="J266" s="108">
        <f t="shared" si="79"/>
        <v>141369</v>
      </c>
      <c r="K266" s="158">
        <f t="shared" si="80"/>
        <v>0.12048271835889394</v>
      </c>
    </row>
    <row r="267" spans="1:11">
      <c r="A267" s="111" t="s">
        <v>56</v>
      </c>
      <c r="B267" s="108">
        <f t="shared" ref="B267" si="84">SUM(B268:B270)</f>
        <v>1103195</v>
      </c>
      <c r="C267" s="21"/>
      <c r="D267" s="108"/>
      <c r="E267" s="108">
        <f t="shared" ref="E267:G267" si="85">SUM(E268:E270)</f>
        <v>-34925</v>
      </c>
      <c r="F267" s="108">
        <f t="shared" si="83"/>
        <v>1068270</v>
      </c>
      <c r="G267" s="108">
        <f t="shared" si="85"/>
        <v>1199000</v>
      </c>
      <c r="H267" s="108">
        <f t="shared" si="77"/>
        <v>95805</v>
      </c>
      <c r="I267" s="158">
        <f t="shared" si="78"/>
        <v>8.6843214481573977E-2</v>
      </c>
      <c r="J267" s="108">
        <f t="shared" si="79"/>
        <v>130730</v>
      </c>
      <c r="K267" s="158">
        <f t="shared" si="80"/>
        <v>0.12237542943263408</v>
      </c>
    </row>
    <row r="268" spans="1:11">
      <c r="A268" s="82" t="s">
        <v>85</v>
      </c>
      <c r="B268" s="118">
        <v>885195</v>
      </c>
      <c r="C268" s="21"/>
      <c r="D268" s="118"/>
      <c r="E268" s="118">
        <v>6700</v>
      </c>
      <c r="F268" s="118">
        <f t="shared" si="83"/>
        <v>891895</v>
      </c>
      <c r="G268" s="118">
        <v>914000</v>
      </c>
      <c r="H268" s="118">
        <f t="shared" si="77"/>
        <v>28805</v>
      </c>
      <c r="I268" s="159">
        <f t="shared" si="78"/>
        <v>3.2540852580504862E-2</v>
      </c>
      <c r="J268" s="118">
        <f t="shared" si="79"/>
        <v>22105</v>
      </c>
      <c r="K268" s="159">
        <f t="shared" si="80"/>
        <v>2.4784307569837256E-2</v>
      </c>
    </row>
    <row r="269" spans="1:11">
      <c r="A269" s="82" t="s">
        <v>181</v>
      </c>
      <c r="B269" s="118">
        <v>144000</v>
      </c>
      <c r="C269" s="21"/>
      <c r="D269" s="118"/>
      <c r="E269" s="118">
        <v>-33750</v>
      </c>
      <c r="F269" s="118">
        <f t="shared" si="83"/>
        <v>110250</v>
      </c>
      <c r="G269" s="118">
        <v>189000</v>
      </c>
      <c r="H269" s="118">
        <f t="shared" si="77"/>
        <v>45000</v>
      </c>
      <c r="I269" s="159">
        <f t="shared" si="78"/>
        <v>0.3125</v>
      </c>
      <c r="J269" s="118">
        <f t="shared" si="79"/>
        <v>78750</v>
      </c>
      <c r="K269" s="159">
        <f t="shared" si="80"/>
        <v>0.7142857142857143</v>
      </c>
    </row>
    <row r="270" spans="1:11">
      <c r="A270" s="82" t="s">
        <v>180</v>
      </c>
      <c r="B270" s="118">
        <v>74000</v>
      </c>
      <c r="C270" s="21"/>
      <c r="D270" s="118"/>
      <c r="E270" s="118">
        <v>-7875</v>
      </c>
      <c r="F270" s="118">
        <f t="shared" si="83"/>
        <v>66125</v>
      </c>
      <c r="G270" s="118">
        <v>96000</v>
      </c>
      <c r="H270" s="118">
        <f t="shared" si="77"/>
        <v>22000</v>
      </c>
      <c r="I270" s="159">
        <f t="shared" si="78"/>
        <v>0.29729729729729731</v>
      </c>
      <c r="J270" s="118">
        <f t="shared" si="79"/>
        <v>29875</v>
      </c>
      <c r="K270" s="159">
        <f t="shared" si="80"/>
        <v>0.45179584120982985</v>
      </c>
    </row>
    <row r="271" spans="1:11">
      <c r="A271" s="111" t="s">
        <v>51</v>
      </c>
      <c r="B271" s="108">
        <f>SUM(B272:B273)</f>
        <v>100985</v>
      </c>
      <c r="C271" s="21"/>
      <c r="D271" s="108"/>
      <c r="E271" s="108">
        <f>SUM(E272:E273)</f>
        <v>-2100</v>
      </c>
      <c r="F271" s="108">
        <f t="shared" si="83"/>
        <v>98885</v>
      </c>
      <c r="G271" s="108">
        <f>SUM(G272:G273)</f>
        <v>111324</v>
      </c>
      <c r="H271" s="108">
        <f t="shared" si="77"/>
        <v>10339</v>
      </c>
      <c r="I271" s="158">
        <f t="shared" si="78"/>
        <v>0.10238154181314056</v>
      </c>
      <c r="J271" s="108">
        <f t="shared" si="79"/>
        <v>12439</v>
      </c>
      <c r="K271" s="158">
        <f t="shared" si="80"/>
        <v>0.12579258734894069</v>
      </c>
    </row>
    <row r="272" spans="1:11">
      <c r="A272" s="82" t="s">
        <v>69</v>
      </c>
      <c r="B272" s="118">
        <v>85985</v>
      </c>
      <c r="C272" s="21"/>
      <c r="D272" s="118"/>
      <c r="E272" s="118"/>
      <c r="F272" s="118">
        <f t="shared" si="83"/>
        <v>85985</v>
      </c>
      <c r="G272" s="118">
        <v>96324</v>
      </c>
      <c r="H272" s="118">
        <f t="shared" si="77"/>
        <v>10339</v>
      </c>
      <c r="I272" s="159">
        <f t="shared" si="78"/>
        <v>0.12024190265744025</v>
      </c>
      <c r="J272" s="118">
        <f t="shared" si="79"/>
        <v>10339</v>
      </c>
      <c r="K272" s="159">
        <f t="shared" si="80"/>
        <v>0.12024190265744025</v>
      </c>
    </row>
    <row r="273" spans="1:14">
      <c r="A273" s="82" t="s">
        <v>70</v>
      </c>
      <c r="B273" s="118">
        <v>15000</v>
      </c>
      <c r="C273" s="21"/>
      <c r="D273" s="118"/>
      <c r="E273" s="118">
        <v>-2100</v>
      </c>
      <c r="F273" s="118">
        <f t="shared" si="83"/>
        <v>12900</v>
      </c>
      <c r="G273" s="118">
        <v>15000</v>
      </c>
      <c r="H273" s="118">
        <f t="shared" si="77"/>
        <v>0</v>
      </c>
      <c r="I273" s="159">
        <f t="shared" si="78"/>
        <v>0</v>
      </c>
      <c r="J273" s="118">
        <f t="shared" si="79"/>
        <v>2100</v>
      </c>
      <c r="K273" s="159">
        <f t="shared" si="80"/>
        <v>0.16279069767441862</v>
      </c>
    </row>
    <row r="274" spans="1:14">
      <c r="A274" s="111" t="s">
        <v>52</v>
      </c>
      <c r="B274" s="108">
        <f t="shared" ref="B274" si="86">B275</f>
        <v>2200</v>
      </c>
      <c r="C274" s="21"/>
      <c r="D274" s="108"/>
      <c r="E274" s="108">
        <f t="shared" ref="E274:G274" si="87">E275</f>
        <v>4000</v>
      </c>
      <c r="F274" s="108">
        <f t="shared" si="83"/>
        <v>6200</v>
      </c>
      <c r="G274" s="108">
        <f t="shared" si="87"/>
        <v>4400</v>
      </c>
      <c r="H274" s="108">
        <f t="shared" si="77"/>
        <v>2200</v>
      </c>
      <c r="I274" s="158">
        <f t="shared" si="78"/>
        <v>1</v>
      </c>
      <c r="J274" s="108">
        <f t="shared" si="79"/>
        <v>-1800</v>
      </c>
      <c r="K274" s="158">
        <f t="shared" si="80"/>
        <v>-0.29032258064516131</v>
      </c>
    </row>
    <row r="275" spans="1:14">
      <c r="A275" s="83" t="s">
        <v>84</v>
      </c>
      <c r="B275" s="112">
        <v>2200</v>
      </c>
      <c r="C275" s="21"/>
      <c r="D275" s="112"/>
      <c r="E275" s="112">
        <v>4000</v>
      </c>
      <c r="F275" s="112">
        <f t="shared" si="83"/>
        <v>6200</v>
      </c>
      <c r="G275" s="112">
        <v>4400</v>
      </c>
      <c r="H275" s="112">
        <f t="shared" si="77"/>
        <v>2200</v>
      </c>
      <c r="I275" s="186">
        <f t="shared" si="78"/>
        <v>1</v>
      </c>
      <c r="J275" s="112">
        <f t="shared" si="79"/>
        <v>-1800</v>
      </c>
      <c r="K275" s="186">
        <f t="shared" si="80"/>
        <v>-0.29032258064516131</v>
      </c>
    </row>
    <row r="276" spans="1:14">
      <c r="A276" s="83"/>
      <c r="B276" s="112"/>
      <c r="C276" s="21"/>
      <c r="D276" s="112"/>
      <c r="E276" s="112"/>
      <c r="F276" s="112">
        <f t="shared" si="83"/>
        <v>0</v>
      </c>
      <c r="G276" s="253"/>
      <c r="H276" s="112">
        <f t="shared" si="77"/>
        <v>0</v>
      </c>
      <c r="I276" s="186"/>
      <c r="J276" s="112">
        <f t="shared" si="79"/>
        <v>0</v>
      </c>
      <c r="K276" s="186" t="str">
        <f t="shared" si="80"/>
        <v/>
      </c>
    </row>
    <row r="277" spans="1:14">
      <c r="A277" s="106" t="s">
        <v>629</v>
      </c>
      <c r="B277" s="107">
        <f>B279+B289+B302+B314+B331+B346+B360+B368+B374</f>
        <v>23221948</v>
      </c>
      <c r="C277" s="107">
        <f>C279+C289+C302+C314+C331+C346+C360+C368+C374</f>
        <v>0</v>
      </c>
      <c r="D277" s="107">
        <f>D279+D289+D302+D314+D331+D346+D360+D368+D374</f>
        <v>3362330</v>
      </c>
      <c r="E277" s="107">
        <f>E279+E289+E302+E314+E331+E346+E360+E368+E374</f>
        <v>2995120</v>
      </c>
      <c r="F277" s="107">
        <f t="shared" si="83"/>
        <v>29579398</v>
      </c>
      <c r="G277" s="107">
        <f>G279+G289+G302+G314+G331+G346+G360+G368+G374</f>
        <v>25248628</v>
      </c>
      <c r="H277" s="107">
        <f t="shared" si="77"/>
        <v>2026680</v>
      </c>
      <c r="I277" s="156">
        <f t="shared" si="78"/>
        <v>8.7274332024169551E-2</v>
      </c>
      <c r="J277" s="107">
        <f t="shared" si="79"/>
        <v>-4330770</v>
      </c>
      <c r="K277" s="156">
        <f t="shared" si="80"/>
        <v>-0.14641170182030075</v>
      </c>
      <c r="L277" s="495"/>
      <c r="M277" s="495"/>
      <c r="N277" s="495"/>
    </row>
    <row r="278" spans="1:14">
      <c r="A278" s="111"/>
      <c r="B278" s="108"/>
      <c r="C278" s="140"/>
      <c r="D278" s="108"/>
      <c r="E278" s="108"/>
      <c r="F278" s="108">
        <f t="shared" si="83"/>
        <v>0</v>
      </c>
      <c r="G278" s="255"/>
      <c r="H278" s="108">
        <f t="shared" si="77"/>
        <v>0</v>
      </c>
      <c r="I278" s="158"/>
      <c r="J278" s="108">
        <f t="shared" si="79"/>
        <v>0</v>
      </c>
      <c r="K278" s="158" t="str">
        <f t="shared" si="80"/>
        <v/>
      </c>
      <c r="L278" s="495"/>
      <c r="M278" s="495"/>
      <c r="N278" s="495"/>
    </row>
    <row r="279" spans="1:14">
      <c r="A279" s="111" t="s">
        <v>630</v>
      </c>
      <c r="B279" s="108">
        <f>B285+B280</f>
        <v>1609550</v>
      </c>
      <c r="C279" s="108">
        <f>C285+C280</f>
        <v>0</v>
      </c>
      <c r="D279" s="108">
        <f>D285+D280</f>
        <v>639564</v>
      </c>
      <c r="E279" s="108">
        <f>E285+E280</f>
        <v>3112500</v>
      </c>
      <c r="F279" s="108">
        <f t="shared" si="83"/>
        <v>5361614</v>
      </c>
      <c r="G279" s="108">
        <f>G285+G280</f>
        <v>910</v>
      </c>
      <c r="H279" s="108">
        <f t="shared" si="77"/>
        <v>-1608640</v>
      </c>
      <c r="I279" s="158">
        <f t="shared" si="78"/>
        <v>-0.99943462458451116</v>
      </c>
      <c r="J279" s="108">
        <f t="shared" si="79"/>
        <v>-5360704</v>
      </c>
      <c r="K279" s="158">
        <f t="shared" si="80"/>
        <v>-0.99983027498809129</v>
      </c>
      <c r="L279" s="495"/>
      <c r="M279" s="495"/>
      <c r="N279" s="495"/>
    </row>
    <row r="280" spans="1:14">
      <c r="A280" s="111" t="s">
        <v>61</v>
      </c>
      <c r="B280" s="108">
        <f>B281</f>
        <v>1596840</v>
      </c>
      <c r="C280" s="108">
        <f t="shared" ref="C280:D280" si="88">C281+C282+C283</f>
        <v>0</v>
      </c>
      <c r="D280" s="108">
        <f t="shared" si="88"/>
        <v>639564</v>
      </c>
      <c r="E280" s="108">
        <f>E281+E282+E283+E284</f>
        <v>3112500</v>
      </c>
      <c r="F280" s="108">
        <f t="shared" si="83"/>
        <v>5348904</v>
      </c>
      <c r="G280" s="108">
        <f>G281</f>
        <v>0</v>
      </c>
      <c r="H280" s="108">
        <f t="shared" si="77"/>
        <v>-1596840</v>
      </c>
      <c r="I280" s="158">
        <f t="shared" si="78"/>
        <v>-1</v>
      </c>
      <c r="J280" s="108">
        <f t="shared" si="79"/>
        <v>-5348904</v>
      </c>
      <c r="K280" s="158" t="str">
        <f t="shared" si="80"/>
        <v/>
      </c>
      <c r="L280" s="495"/>
      <c r="M280" s="495"/>
      <c r="N280" s="495"/>
    </row>
    <row r="281" spans="1:14" ht="39.6">
      <c r="A281" s="83" t="s">
        <v>722</v>
      </c>
      <c r="B281" s="112">
        <v>1596840</v>
      </c>
      <c r="C281" s="140"/>
      <c r="D281" s="112"/>
      <c r="E281" s="112"/>
      <c r="F281" s="112">
        <f t="shared" si="83"/>
        <v>1596840</v>
      </c>
      <c r="G281" s="492"/>
      <c r="H281" s="112">
        <f t="shared" si="77"/>
        <v>-1596840</v>
      </c>
      <c r="I281" s="186">
        <f t="shared" si="78"/>
        <v>-1</v>
      </c>
      <c r="J281" s="112">
        <f t="shared" si="79"/>
        <v>-1596840</v>
      </c>
      <c r="K281" s="186" t="str">
        <f t="shared" si="80"/>
        <v/>
      </c>
      <c r="L281" s="495"/>
      <c r="M281" s="495"/>
      <c r="N281" s="495"/>
    </row>
    <row r="282" spans="1:14">
      <c r="A282" s="82" t="s">
        <v>88</v>
      </c>
      <c r="B282" s="112"/>
      <c r="C282" s="140"/>
      <c r="D282" s="118">
        <v>6360</v>
      </c>
      <c r="E282" s="118"/>
      <c r="F282" s="112">
        <f t="shared" si="83"/>
        <v>6360</v>
      </c>
      <c r="G282" s="492"/>
      <c r="H282" s="112">
        <f t="shared" si="77"/>
        <v>0</v>
      </c>
      <c r="I282" s="186"/>
      <c r="J282" s="112">
        <f t="shared" si="79"/>
        <v>-6360</v>
      </c>
      <c r="K282" s="186" t="str">
        <f t="shared" si="80"/>
        <v/>
      </c>
      <c r="L282" s="495"/>
      <c r="M282" s="495"/>
      <c r="N282" s="495"/>
    </row>
    <row r="283" spans="1:14">
      <c r="A283" s="82" t="s">
        <v>473</v>
      </c>
      <c r="B283" s="112"/>
      <c r="C283" s="140"/>
      <c r="D283" s="118">
        <v>633204</v>
      </c>
      <c r="E283" s="118"/>
      <c r="F283" s="112">
        <f t="shared" si="83"/>
        <v>633204</v>
      </c>
      <c r="G283" s="492"/>
      <c r="H283" s="112">
        <f t="shared" si="77"/>
        <v>0</v>
      </c>
      <c r="I283" s="186"/>
      <c r="J283" s="112">
        <f t="shared" si="79"/>
        <v>-633204</v>
      </c>
      <c r="K283" s="186" t="str">
        <f t="shared" si="80"/>
        <v/>
      </c>
      <c r="L283" s="495"/>
      <c r="M283" s="495"/>
      <c r="N283" s="495"/>
    </row>
    <row r="284" spans="1:14" ht="26.4">
      <c r="A284" s="697" t="s">
        <v>1160</v>
      </c>
      <c r="B284" s="112"/>
      <c r="C284" s="140"/>
      <c r="D284" s="118"/>
      <c r="E284" s="118">
        <v>3112500</v>
      </c>
      <c r="F284" s="112">
        <f t="shared" si="83"/>
        <v>3112500</v>
      </c>
      <c r="G284" s="492"/>
      <c r="H284" s="112">
        <f t="shared" si="77"/>
        <v>0</v>
      </c>
      <c r="I284" s="186"/>
      <c r="J284" s="112">
        <f t="shared" si="79"/>
        <v>-3112500</v>
      </c>
      <c r="K284" s="186" t="str">
        <f t="shared" si="80"/>
        <v/>
      </c>
      <c r="L284" s="495"/>
      <c r="M284" s="495"/>
      <c r="N284" s="495"/>
    </row>
    <row r="285" spans="1:14">
      <c r="A285" s="111" t="s">
        <v>51</v>
      </c>
      <c r="B285" s="108">
        <f>B286+B287</f>
        <v>12710</v>
      </c>
      <c r="C285" s="140"/>
      <c r="D285" s="108"/>
      <c r="E285" s="108"/>
      <c r="F285" s="108">
        <f t="shared" si="83"/>
        <v>12710</v>
      </c>
      <c r="G285" s="108">
        <f>G286+G287</f>
        <v>910</v>
      </c>
      <c r="H285" s="108">
        <f t="shared" si="77"/>
        <v>-11800</v>
      </c>
      <c r="I285" s="158">
        <f t="shared" si="78"/>
        <v>-0.92840283241542088</v>
      </c>
      <c r="J285" s="108">
        <f t="shared" si="79"/>
        <v>-11800</v>
      </c>
      <c r="K285" s="158">
        <f t="shared" si="80"/>
        <v>-0.92840283241542088</v>
      </c>
      <c r="L285" s="495"/>
      <c r="M285" s="495"/>
      <c r="N285" s="495"/>
    </row>
    <row r="286" spans="1:14">
      <c r="A286" s="82" t="s">
        <v>70</v>
      </c>
      <c r="B286" s="118">
        <v>11800</v>
      </c>
      <c r="C286" s="140"/>
      <c r="D286" s="118"/>
      <c r="E286" s="118"/>
      <c r="F286" s="118">
        <f t="shared" si="83"/>
        <v>11800</v>
      </c>
      <c r="G286" s="118">
        <v>0</v>
      </c>
      <c r="H286" s="118">
        <f t="shared" si="77"/>
        <v>-11800</v>
      </c>
      <c r="I286" s="159">
        <f t="shared" si="78"/>
        <v>-1</v>
      </c>
      <c r="J286" s="118">
        <f t="shared" si="79"/>
        <v>-11800</v>
      </c>
      <c r="K286" s="159" t="str">
        <f t="shared" si="80"/>
        <v/>
      </c>
      <c r="L286" s="495"/>
      <c r="M286" s="495"/>
      <c r="N286" s="495"/>
    </row>
    <row r="287" spans="1:14">
      <c r="A287" s="82" t="s">
        <v>87</v>
      </c>
      <c r="B287" s="118">
        <v>910</v>
      </c>
      <c r="C287" s="140"/>
      <c r="D287" s="118"/>
      <c r="E287" s="118"/>
      <c r="F287" s="118">
        <f t="shared" si="83"/>
        <v>910</v>
      </c>
      <c r="G287" s="118">
        <v>910</v>
      </c>
      <c r="H287" s="118">
        <f t="shared" si="77"/>
        <v>0</v>
      </c>
      <c r="I287" s="159">
        <f t="shared" si="78"/>
        <v>0</v>
      </c>
      <c r="J287" s="118">
        <f t="shared" si="79"/>
        <v>0</v>
      </c>
      <c r="K287" s="159">
        <f t="shared" si="80"/>
        <v>0</v>
      </c>
      <c r="L287" s="495"/>
      <c r="M287" s="495"/>
      <c r="N287" s="495"/>
    </row>
    <row r="288" spans="1:14">
      <c r="A288" s="111"/>
      <c r="B288" s="108"/>
      <c r="C288" s="140"/>
      <c r="D288" s="108"/>
      <c r="E288" s="108"/>
      <c r="F288" s="108">
        <f t="shared" si="83"/>
        <v>0</v>
      </c>
      <c r="G288" s="253"/>
      <c r="H288" s="108">
        <f t="shared" si="77"/>
        <v>0</v>
      </c>
      <c r="I288" s="158"/>
      <c r="J288" s="108">
        <f t="shared" si="79"/>
        <v>0</v>
      </c>
      <c r="K288" s="158" t="str">
        <f t="shared" si="80"/>
        <v/>
      </c>
      <c r="L288" s="495"/>
      <c r="M288" s="495"/>
      <c r="N288" s="495"/>
    </row>
    <row r="289" spans="1:14">
      <c r="A289" s="111" t="s">
        <v>631</v>
      </c>
      <c r="B289" s="108">
        <f>B290+B298</f>
        <v>908471</v>
      </c>
      <c r="C289" s="108">
        <f>C290+C298</f>
        <v>0</v>
      </c>
      <c r="D289" s="108">
        <f>D290+D298+D296</f>
        <v>74795</v>
      </c>
      <c r="E289" s="108">
        <f>E290+E298+E296</f>
        <v>163869</v>
      </c>
      <c r="F289" s="108">
        <f t="shared" si="83"/>
        <v>1147135</v>
      </c>
      <c r="G289" s="108">
        <f>G290+G298</f>
        <v>1076878</v>
      </c>
      <c r="H289" s="108">
        <f t="shared" si="77"/>
        <v>168407</v>
      </c>
      <c r="I289" s="158">
        <f t="shared" si="78"/>
        <v>0.18537410660329279</v>
      </c>
      <c r="J289" s="108">
        <f t="shared" si="79"/>
        <v>-70257</v>
      </c>
      <c r="K289" s="158">
        <f t="shared" si="80"/>
        <v>-6.1245624970034045E-2</v>
      </c>
      <c r="L289" s="495"/>
      <c r="M289" s="495"/>
      <c r="N289" s="495"/>
    </row>
    <row r="290" spans="1:14">
      <c r="A290" s="111" t="s">
        <v>61</v>
      </c>
      <c r="B290" s="108">
        <f>B291+B292+B293+B294+B295</f>
        <v>902872</v>
      </c>
      <c r="C290" s="108">
        <f t="shared" ref="C290:E290" si="89">C291+C292+C293+C294+C295</f>
        <v>0</v>
      </c>
      <c r="D290" s="108">
        <f t="shared" si="89"/>
        <v>74265</v>
      </c>
      <c r="E290" s="108">
        <f t="shared" si="89"/>
        <v>161594</v>
      </c>
      <c r="F290" s="108">
        <f t="shared" si="83"/>
        <v>1138731</v>
      </c>
      <c r="G290" s="108">
        <f>G291+G292+G293+G294+G295</f>
        <v>1068787</v>
      </c>
      <c r="H290" s="108">
        <f t="shared" si="77"/>
        <v>165915</v>
      </c>
      <c r="I290" s="158">
        <f t="shared" si="78"/>
        <v>0.18376358996624106</v>
      </c>
      <c r="J290" s="108">
        <f t="shared" si="79"/>
        <v>-69944</v>
      </c>
      <c r="K290" s="158">
        <f t="shared" si="80"/>
        <v>-6.1422759194225851E-2</v>
      </c>
      <c r="L290" s="495"/>
      <c r="M290" s="495"/>
      <c r="N290" s="495"/>
    </row>
    <row r="291" spans="1:14" ht="26.4">
      <c r="A291" s="83" t="s">
        <v>1225</v>
      </c>
      <c r="B291" s="112">
        <v>6732</v>
      </c>
      <c r="C291" s="140"/>
      <c r="D291" s="112"/>
      <c r="E291" s="112"/>
      <c r="F291" s="112">
        <f t="shared" si="83"/>
        <v>6732</v>
      </c>
      <c r="G291" s="112">
        <v>6732</v>
      </c>
      <c r="H291" s="112">
        <f t="shared" si="77"/>
        <v>0</v>
      </c>
      <c r="I291" s="186">
        <f t="shared" si="78"/>
        <v>0</v>
      </c>
      <c r="J291" s="112">
        <f t="shared" si="79"/>
        <v>0</v>
      </c>
      <c r="K291" s="186">
        <f t="shared" si="80"/>
        <v>0</v>
      </c>
      <c r="L291" s="495"/>
      <c r="M291" s="495"/>
      <c r="N291" s="495"/>
    </row>
    <row r="292" spans="1:14">
      <c r="A292" s="83" t="s">
        <v>89</v>
      </c>
      <c r="B292" s="112">
        <v>53000</v>
      </c>
      <c r="C292" s="140"/>
      <c r="D292" s="112"/>
      <c r="E292" s="112">
        <v>4327</v>
      </c>
      <c r="F292" s="112">
        <f t="shared" si="83"/>
        <v>57327</v>
      </c>
      <c r="G292" s="112">
        <v>56916</v>
      </c>
      <c r="H292" s="112">
        <f t="shared" si="77"/>
        <v>3916</v>
      </c>
      <c r="I292" s="186">
        <f t="shared" si="78"/>
        <v>7.3886792452830183E-2</v>
      </c>
      <c r="J292" s="112">
        <f t="shared" si="79"/>
        <v>-411</v>
      </c>
      <c r="K292" s="186">
        <f t="shared" si="80"/>
        <v>-7.1693966193940029E-3</v>
      </c>
      <c r="L292" s="495"/>
      <c r="M292" s="495"/>
      <c r="N292" s="495"/>
    </row>
    <row r="293" spans="1:14">
      <c r="A293" s="83" t="s">
        <v>88</v>
      </c>
      <c r="B293" s="112">
        <v>78400</v>
      </c>
      <c r="C293" s="140"/>
      <c r="D293" s="112"/>
      <c r="E293" s="112">
        <v>29772</v>
      </c>
      <c r="F293" s="112">
        <f t="shared" si="83"/>
        <v>108172</v>
      </c>
      <c r="G293" s="118">
        <v>99691</v>
      </c>
      <c r="H293" s="112">
        <f t="shared" si="77"/>
        <v>21291</v>
      </c>
      <c r="I293" s="186">
        <f t="shared" si="78"/>
        <v>0.27156887755102038</v>
      </c>
      <c r="J293" s="112">
        <f t="shared" si="79"/>
        <v>-8481</v>
      </c>
      <c r="K293" s="186">
        <f t="shared" si="80"/>
        <v>-7.8402913877898162E-2</v>
      </c>
      <c r="L293" s="495"/>
      <c r="M293" s="495"/>
      <c r="N293" s="495"/>
    </row>
    <row r="294" spans="1:14">
      <c r="A294" s="83" t="s">
        <v>240</v>
      </c>
      <c r="B294" s="112">
        <v>130000</v>
      </c>
      <c r="C294" s="140"/>
      <c r="D294" s="112"/>
      <c r="E294" s="112">
        <v>34000</v>
      </c>
      <c r="F294" s="112">
        <f t="shared" si="83"/>
        <v>164000</v>
      </c>
      <c r="G294" s="118">
        <v>135456</v>
      </c>
      <c r="H294" s="112">
        <f t="shared" si="77"/>
        <v>5456</v>
      </c>
      <c r="I294" s="186">
        <f t="shared" si="78"/>
        <v>4.1969230769230773E-2</v>
      </c>
      <c r="J294" s="112">
        <f t="shared" si="79"/>
        <v>-28544</v>
      </c>
      <c r="K294" s="186">
        <f t="shared" si="80"/>
        <v>-0.17404878048780487</v>
      </c>
      <c r="L294" s="495"/>
      <c r="M294" s="495"/>
      <c r="N294" s="495"/>
    </row>
    <row r="295" spans="1:14" ht="26.4">
      <c r="A295" s="83" t="s">
        <v>241</v>
      </c>
      <c r="B295" s="112">
        <v>634740</v>
      </c>
      <c r="C295" s="140"/>
      <c r="D295" s="118">
        <v>74265</v>
      </c>
      <c r="E295" s="118">
        <v>93495</v>
      </c>
      <c r="F295" s="112">
        <f t="shared" si="83"/>
        <v>802500</v>
      </c>
      <c r="G295" s="112">
        <v>769992</v>
      </c>
      <c r="H295" s="112">
        <f t="shared" si="77"/>
        <v>135252</v>
      </c>
      <c r="I295" s="186">
        <f t="shared" si="78"/>
        <v>0.2130825219775026</v>
      </c>
      <c r="J295" s="112">
        <f t="shared" si="79"/>
        <v>-32508</v>
      </c>
      <c r="K295" s="186">
        <f t="shared" si="80"/>
        <v>-4.0508411214953272E-2</v>
      </c>
      <c r="L295" s="495"/>
      <c r="M295" s="495"/>
      <c r="N295" s="495"/>
    </row>
    <row r="296" spans="1:14">
      <c r="A296" s="111" t="s">
        <v>60</v>
      </c>
      <c r="B296" s="112"/>
      <c r="C296" s="140"/>
      <c r="D296" s="108">
        <f>D297</f>
        <v>840</v>
      </c>
      <c r="E296" s="108">
        <f>E297</f>
        <v>0</v>
      </c>
      <c r="F296" s="112">
        <f t="shared" si="83"/>
        <v>840</v>
      </c>
      <c r="G296" s="112"/>
      <c r="H296" s="112">
        <f t="shared" si="77"/>
        <v>0</v>
      </c>
      <c r="I296" s="186"/>
      <c r="J296" s="112">
        <f t="shared" si="79"/>
        <v>-840</v>
      </c>
      <c r="K296" s="186" t="str">
        <f t="shared" si="80"/>
        <v/>
      </c>
      <c r="L296" s="495"/>
      <c r="M296" s="495"/>
      <c r="N296" s="495"/>
    </row>
    <row r="297" spans="1:14">
      <c r="A297" s="83" t="s">
        <v>474</v>
      </c>
      <c r="B297" s="112"/>
      <c r="C297" s="140"/>
      <c r="D297" s="118">
        <v>840</v>
      </c>
      <c r="E297" s="118"/>
      <c r="F297" s="112">
        <f t="shared" si="83"/>
        <v>840</v>
      </c>
      <c r="G297" s="112"/>
      <c r="H297" s="112">
        <f t="shared" si="77"/>
        <v>0</v>
      </c>
      <c r="I297" s="186"/>
      <c r="J297" s="112">
        <f t="shared" si="79"/>
        <v>-840</v>
      </c>
      <c r="K297" s="186" t="str">
        <f t="shared" si="80"/>
        <v/>
      </c>
      <c r="L297" s="495"/>
      <c r="M297" s="495"/>
      <c r="N297" s="495"/>
    </row>
    <row r="298" spans="1:14">
      <c r="A298" s="119" t="s">
        <v>51</v>
      </c>
      <c r="B298" s="120">
        <f>B299+B300</f>
        <v>5599</v>
      </c>
      <c r="C298" s="120">
        <f t="shared" ref="C298:E298" si="90">C299+C300</f>
        <v>0</v>
      </c>
      <c r="D298" s="120">
        <f t="shared" si="90"/>
        <v>-310</v>
      </c>
      <c r="E298" s="120">
        <f t="shared" si="90"/>
        <v>2275</v>
      </c>
      <c r="F298" s="120">
        <f t="shared" si="83"/>
        <v>7564</v>
      </c>
      <c r="G298" s="120">
        <f>G299+G300</f>
        <v>8091</v>
      </c>
      <c r="H298" s="120">
        <f t="shared" si="77"/>
        <v>2492</v>
      </c>
      <c r="I298" s="187">
        <f t="shared" si="78"/>
        <v>0.44507947847829971</v>
      </c>
      <c r="J298" s="120">
        <f t="shared" si="79"/>
        <v>527</v>
      </c>
      <c r="K298" s="187">
        <f t="shared" si="80"/>
        <v>6.9672131147540978E-2</v>
      </c>
      <c r="L298" s="495"/>
      <c r="M298" s="495"/>
      <c r="N298" s="495"/>
    </row>
    <row r="299" spans="1:14">
      <c r="A299" s="83" t="s">
        <v>69</v>
      </c>
      <c r="B299" s="112">
        <v>1861</v>
      </c>
      <c r="C299" s="140"/>
      <c r="D299" s="118">
        <v>-310</v>
      </c>
      <c r="E299" s="118"/>
      <c r="F299" s="112">
        <f t="shared" si="83"/>
        <v>1551</v>
      </c>
      <c r="G299" s="112">
        <v>1861</v>
      </c>
      <c r="H299" s="112">
        <f t="shared" si="77"/>
        <v>0</v>
      </c>
      <c r="I299" s="186">
        <f t="shared" si="78"/>
        <v>0</v>
      </c>
      <c r="J299" s="112">
        <f t="shared" si="79"/>
        <v>310</v>
      </c>
      <c r="K299" s="186">
        <f t="shared" si="80"/>
        <v>0.19987105093488072</v>
      </c>
      <c r="L299" s="495"/>
      <c r="M299" s="495"/>
      <c r="N299" s="495"/>
    </row>
    <row r="300" spans="1:14">
      <c r="A300" s="83" t="s">
        <v>70</v>
      </c>
      <c r="B300" s="112">
        <v>3738</v>
      </c>
      <c r="C300" s="140"/>
      <c r="D300" s="112"/>
      <c r="E300" s="112">
        <v>2275</v>
      </c>
      <c r="F300" s="112">
        <f t="shared" si="83"/>
        <v>6013</v>
      </c>
      <c r="G300" s="118">
        <v>6230</v>
      </c>
      <c r="H300" s="112">
        <f t="shared" si="77"/>
        <v>2492</v>
      </c>
      <c r="I300" s="186">
        <f t="shared" si="78"/>
        <v>0.66666666666666663</v>
      </c>
      <c r="J300" s="112">
        <f t="shared" si="79"/>
        <v>217</v>
      </c>
      <c r="K300" s="186">
        <f t="shared" si="80"/>
        <v>3.6088474970896393E-2</v>
      </c>
      <c r="L300" s="495"/>
      <c r="M300" s="495"/>
      <c r="N300" s="495"/>
    </row>
    <row r="301" spans="1:14">
      <c r="A301" s="83"/>
      <c r="B301" s="112"/>
      <c r="C301" s="140"/>
      <c r="D301" s="112"/>
      <c r="E301" s="112"/>
      <c r="F301" s="112">
        <f t="shared" si="83"/>
        <v>0</v>
      </c>
      <c r="G301" s="171"/>
      <c r="H301" s="112">
        <f t="shared" si="77"/>
        <v>0</v>
      </c>
      <c r="I301" s="186"/>
      <c r="J301" s="112">
        <f t="shared" si="79"/>
        <v>0</v>
      </c>
      <c r="K301" s="186" t="str">
        <f t="shared" si="80"/>
        <v/>
      </c>
      <c r="L301" s="495"/>
      <c r="M301" s="495"/>
      <c r="N301" s="495"/>
    </row>
    <row r="302" spans="1:14">
      <c r="A302" s="119" t="s">
        <v>632</v>
      </c>
      <c r="B302" s="120">
        <f>B303</f>
        <v>988516</v>
      </c>
      <c r="C302" s="120">
        <f t="shared" ref="C302" si="91">C303</f>
        <v>0</v>
      </c>
      <c r="D302" s="120">
        <f>D303+D309+D311</f>
        <v>730040</v>
      </c>
      <c r="E302" s="120">
        <f>E303+E309+E311</f>
        <v>-472302</v>
      </c>
      <c r="F302" s="120">
        <f t="shared" si="83"/>
        <v>1246254</v>
      </c>
      <c r="G302" s="120">
        <f>G303+G309+G311</f>
        <v>1722456</v>
      </c>
      <c r="H302" s="120">
        <f t="shared" si="77"/>
        <v>733940</v>
      </c>
      <c r="I302" s="187">
        <f t="shared" si="78"/>
        <v>0.74246648511506141</v>
      </c>
      <c r="J302" s="120">
        <f t="shared" si="79"/>
        <v>476202</v>
      </c>
      <c r="K302" s="187">
        <f t="shared" si="80"/>
        <v>0.38210669735062036</v>
      </c>
      <c r="L302" s="495"/>
      <c r="M302" s="495"/>
      <c r="N302" s="495"/>
    </row>
    <row r="303" spans="1:14">
      <c r="A303" s="111" t="s">
        <v>61</v>
      </c>
      <c r="B303" s="108">
        <f>B304+B305+B306+B307</f>
        <v>988516</v>
      </c>
      <c r="C303" s="108">
        <f t="shared" ref="C303" si="92">C304+C305+C306+C307</f>
        <v>0</v>
      </c>
      <c r="D303" s="108">
        <f>D304+D305+D306+D307+D308</f>
        <v>727040</v>
      </c>
      <c r="E303" s="108">
        <f>E304+E305+E306+E307+E308</f>
        <v>-477302</v>
      </c>
      <c r="F303" s="108">
        <f t="shared" si="83"/>
        <v>1238254</v>
      </c>
      <c r="G303" s="108">
        <f>G304+G305+G306+G307+G308</f>
        <v>1719456</v>
      </c>
      <c r="H303" s="108">
        <f t="shared" si="77"/>
        <v>730940</v>
      </c>
      <c r="I303" s="158">
        <f t="shared" si="78"/>
        <v>0.73943163287190095</v>
      </c>
      <c r="J303" s="108">
        <f t="shared" si="79"/>
        <v>481202</v>
      </c>
      <c r="K303" s="158">
        <f t="shared" si="80"/>
        <v>0.38861332166098395</v>
      </c>
      <c r="L303" s="495"/>
      <c r="M303" s="495"/>
      <c r="N303" s="495"/>
    </row>
    <row r="304" spans="1:14">
      <c r="A304" s="82" t="s">
        <v>89</v>
      </c>
      <c r="B304" s="118">
        <v>6600</v>
      </c>
      <c r="C304" s="140"/>
      <c r="D304" s="118"/>
      <c r="E304" s="118"/>
      <c r="F304" s="118">
        <f t="shared" si="83"/>
        <v>6600</v>
      </c>
      <c r="G304" s="166">
        <v>6600</v>
      </c>
      <c r="H304" s="118">
        <f t="shared" si="77"/>
        <v>0</v>
      </c>
      <c r="I304" s="159">
        <f t="shared" si="78"/>
        <v>0</v>
      </c>
      <c r="J304" s="118">
        <f t="shared" si="79"/>
        <v>0</v>
      </c>
      <c r="K304" s="159">
        <f t="shared" si="80"/>
        <v>0</v>
      </c>
      <c r="L304" s="495"/>
      <c r="M304" s="495"/>
      <c r="N304" s="495"/>
    </row>
    <row r="305" spans="1:14">
      <c r="A305" s="82" t="s">
        <v>88</v>
      </c>
      <c r="B305" s="118">
        <v>878480</v>
      </c>
      <c r="C305" s="140"/>
      <c r="D305" s="166">
        <v>134640</v>
      </c>
      <c r="E305" s="166"/>
      <c r="F305" s="118">
        <f t="shared" si="83"/>
        <v>1013120</v>
      </c>
      <c r="G305" s="166">
        <v>878400</v>
      </c>
      <c r="H305" s="118">
        <f t="shared" si="77"/>
        <v>-80</v>
      </c>
      <c r="I305" s="159">
        <f t="shared" si="78"/>
        <v>-9.1066387396411986E-5</v>
      </c>
      <c r="J305" s="118">
        <f t="shared" si="79"/>
        <v>-134720</v>
      </c>
      <c r="K305" s="159">
        <f t="shared" si="80"/>
        <v>-0.13297536323436512</v>
      </c>
      <c r="L305" s="495"/>
      <c r="M305" s="495"/>
      <c r="N305" s="495"/>
    </row>
    <row r="306" spans="1:14">
      <c r="A306" s="82" t="s">
        <v>240</v>
      </c>
      <c r="B306" s="118">
        <v>41300</v>
      </c>
      <c r="C306" s="140"/>
      <c r="D306" s="166">
        <v>493700</v>
      </c>
      <c r="E306" s="166">
        <v>-400000</v>
      </c>
      <c r="F306" s="118">
        <f t="shared" si="83"/>
        <v>135000</v>
      </c>
      <c r="G306" s="166">
        <v>535296</v>
      </c>
      <c r="H306" s="118">
        <f t="shared" si="77"/>
        <v>493996</v>
      </c>
      <c r="I306" s="159">
        <f t="shared" si="78"/>
        <v>11.961162227602905</v>
      </c>
      <c r="J306" s="118">
        <f t="shared" si="79"/>
        <v>400296</v>
      </c>
      <c r="K306" s="159">
        <f t="shared" si="80"/>
        <v>2.9651555555555555</v>
      </c>
      <c r="L306" s="495"/>
      <c r="M306" s="495"/>
      <c r="N306" s="495"/>
    </row>
    <row r="307" spans="1:14">
      <c r="A307" s="82" t="s">
        <v>723</v>
      </c>
      <c r="B307" s="118">
        <v>62136</v>
      </c>
      <c r="C307" s="140"/>
      <c r="D307" s="166"/>
      <c r="E307" s="166"/>
      <c r="F307" s="118">
        <f t="shared" si="83"/>
        <v>62136</v>
      </c>
      <c r="G307" s="166">
        <v>62136</v>
      </c>
      <c r="H307" s="118">
        <f t="shared" si="77"/>
        <v>0</v>
      </c>
      <c r="I307" s="159">
        <f t="shared" si="78"/>
        <v>0</v>
      </c>
      <c r="J307" s="118">
        <f t="shared" si="79"/>
        <v>0</v>
      </c>
      <c r="K307" s="159">
        <f t="shared" si="80"/>
        <v>0</v>
      </c>
      <c r="L307" s="495"/>
      <c r="M307" s="495"/>
      <c r="N307" s="495"/>
    </row>
    <row r="308" spans="1:14" ht="39.6">
      <c r="A308" s="83" t="s">
        <v>1226</v>
      </c>
      <c r="B308" s="118"/>
      <c r="C308" s="140"/>
      <c r="D308" s="166">
        <v>98700</v>
      </c>
      <c r="E308" s="166">
        <v>-77302</v>
      </c>
      <c r="F308" s="166">
        <f t="shared" si="83"/>
        <v>21398</v>
      </c>
      <c r="G308" s="166">
        <v>237024</v>
      </c>
      <c r="H308" s="166">
        <f t="shared" si="77"/>
        <v>237024</v>
      </c>
      <c r="I308" s="91"/>
      <c r="J308" s="166">
        <f t="shared" si="79"/>
        <v>215626</v>
      </c>
      <c r="K308" s="91">
        <f t="shared" si="80"/>
        <v>10.076923076923077</v>
      </c>
      <c r="L308" s="495"/>
      <c r="M308" s="495"/>
      <c r="N308" s="495"/>
    </row>
    <row r="309" spans="1:14">
      <c r="A309" s="111" t="s">
        <v>52</v>
      </c>
      <c r="B309" s="118"/>
      <c r="C309" s="140"/>
      <c r="D309" s="108">
        <f>D310</f>
        <v>2000</v>
      </c>
      <c r="E309" s="108">
        <f>E310</f>
        <v>5000</v>
      </c>
      <c r="F309" s="108">
        <f t="shared" si="83"/>
        <v>7000</v>
      </c>
      <c r="G309" s="108">
        <f>G310</f>
        <v>1000</v>
      </c>
      <c r="H309" s="108">
        <f t="shared" si="77"/>
        <v>1000</v>
      </c>
      <c r="I309" s="158"/>
      <c r="J309" s="108">
        <f t="shared" si="79"/>
        <v>-6000</v>
      </c>
      <c r="K309" s="158">
        <f t="shared" si="80"/>
        <v>-0.8571428571428571</v>
      </c>
      <c r="L309" s="495"/>
      <c r="M309" s="495"/>
      <c r="N309" s="495"/>
    </row>
    <row r="310" spans="1:14" ht="26.4">
      <c r="A310" s="83" t="s">
        <v>71</v>
      </c>
      <c r="B310" s="118"/>
      <c r="C310" s="140"/>
      <c r="D310" s="118">
        <v>2000</v>
      </c>
      <c r="E310" s="118">
        <v>5000</v>
      </c>
      <c r="F310" s="166">
        <f t="shared" si="83"/>
        <v>7000</v>
      </c>
      <c r="G310" s="166">
        <v>1000</v>
      </c>
      <c r="H310" s="166">
        <f t="shared" si="77"/>
        <v>1000</v>
      </c>
      <c r="I310" s="91"/>
      <c r="J310" s="166">
        <f t="shared" si="79"/>
        <v>-6000</v>
      </c>
      <c r="K310" s="91">
        <f t="shared" si="80"/>
        <v>-0.8571428571428571</v>
      </c>
      <c r="L310" s="495"/>
      <c r="M310" s="495"/>
      <c r="N310" s="495"/>
    </row>
    <row r="311" spans="1:14">
      <c r="A311" s="111" t="s">
        <v>60</v>
      </c>
      <c r="B311" s="118"/>
      <c r="C311" s="140"/>
      <c r="D311" s="108">
        <f>D312</f>
        <v>1000</v>
      </c>
      <c r="E311" s="108">
        <f>E312</f>
        <v>0</v>
      </c>
      <c r="F311" s="108">
        <f t="shared" si="83"/>
        <v>1000</v>
      </c>
      <c r="G311" s="108">
        <f>G312</f>
        <v>2000</v>
      </c>
      <c r="H311" s="108">
        <f t="shared" si="77"/>
        <v>2000</v>
      </c>
      <c r="I311" s="158"/>
      <c r="J311" s="108">
        <f t="shared" si="79"/>
        <v>1000</v>
      </c>
      <c r="K311" s="158">
        <f t="shared" si="80"/>
        <v>1</v>
      </c>
      <c r="L311" s="495"/>
      <c r="M311" s="495"/>
      <c r="N311" s="495"/>
    </row>
    <row r="312" spans="1:14">
      <c r="A312" s="83" t="s">
        <v>474</v>
      </c>
      <c r="B312" s="118"/>
      <c r="C312" s="140"/>
      <c r="D312" s="118">
        <v>1000</v>
      </c>
      <c r="E312" s="118"/>
      <c r="F312" s="166">
        <f t="shared" si="83"/>
        <v>1000</v>
      </c>
      <c r="G312" s="166">
        <v>2000</v>
      </c>
      <c r="H312" s="166">
        <f t="shared" si="77"/>
        <v>2000</v>
      </c>
      <c r="I312" s="91"/>
      <c r="J312" s="166">
        <f t="shared" si="79"/>
        <v>1000</v>
      </c>
      <c r="K312" s="91">
        <f t="shared" si="80"/>
        <v>1</v>
      </c>
      <c r="L312" s="495"/>
      <c r="M312" s="495"/>
      <c r="N312" s="495"/>
    </row>
    <row r="313" spans="1:14">
      <c r="A313" s="83"/>
      <c r="B313" s="108"/>
      <c r="C313" s="140"/>
      <c r="D313" s="108"/>
      <c r="E313" s="108"/>
      <c r="F313" s="108">
        <f t="shared" si="83"/>
        <v>0</v>
      </c>
      <c r="G313" s="253"/>
      <c r="H313" s="108">
        <f t="shared" si="77"/>
        <v>0</v>
      </c>
      <c r="I313" s="158"/>
      <c r="J313" s="108">
        <f t="shared" si="79"/>
        <v>0</v>
      </c>
      <c r="K313" s="158" t="str">
        <f t="shared" si="80"/>
        <v/>
      </c>
      <c r="L313" s="495"/>
      <c r="M313" s="495"/>
      <c r="N313" s="495"/>
    </row>
    <row r="314" spans="1:14">
      <c r="A314" s="111" t="s">
        <v>633</v>
      </c>
      <c r="B314" s="108">
        <f>B315+B321+B323+B325</f>
        <v>2125190</v>
      </c>
      <c r="C314" s="108">
        <f t="shared" ref="C314:E314" si="93">C315+C321+C323+C325</f>
        <v>0</v>
      </c>
      <c r="D314" s="108">
        <f t="shared" si="93"/>
        <v>-120000</v>
      </c>
      <c r="E314" s="108">
        <f t="shared" si="93"/>
        <v>0</v>
      </c>
      <c r="F314" s="108">
        <f t="shared" si="83"/>
        <v>2005190</v>
      </c>
      <c r="G314" s="108">
        <f>G315+G321+G323+G325+G328</f>
        <v>2306768</v>
      </c>
      <c r="H314" s="108">
        <f t="shared" si="77"/>
        <v>181578</v>
      </c>
      <c r="I314" s="158">
        <f t="shared" si="78"/>
        <v>8.5440831172742204E-2</v>
      </c>
      <c r="J314" s="108">
        <f t="shared" si="79"/>
        <v>301578</v>
      </c>
      <c r="K314" s="158">
        <f t="shared" si="80"/>
        <v>0.15039871533370902</v>
      </c>
      <c r="L314" s="495"/>
      <c r="M314" s="495"/>
      <c r="N314" s="495"/>
    </row>
    <row r="315" spans="1:14">
      <c r="A315" s="111" t="s">
        <v>61</v>
      </c>
      <c r="B315" s="108">
        <f>B316+B317+B318+B319+B320</f>
        <v>2096800</v>
      </c>
      <c r="C315" s="108">
        <f t="shared" ref="C315:E315" si="94">C316+C317+C318+C319+C320</f>
        <v>0</v>
      </c>
      <c r="D315" s="108">
        <f t="shared" si="94"/>
        <v>-120000</v>
      </c>
      <c r="E315" s="108">
        <f t="shared" si="94"/>
        <v>0</v>
      </c>
      <c r="F315" s="108">
        <f t="shared" si="83"/>
        <v>1976800</v>
      </c>
      <c r="G315" s="108">
        <f>G316+G317+G318+G319+G320</f>
        <v>2228378</v>
      </c>
      <c r="H315" s="108">
        <f t="shared" si="77"/>
        <v>131578</v>
      </c>
      <c r="I315" s="158">
        <f t="shared" si="78"/>
        <v>6.275181228538726E-2</v>
      </c>
      <c r="J315" s="108">
        <f t="shared" si="79"/>
        <v>251578</v>
      </c>
      <c r="K315" s="158">
        <f t="shared" si="80"/>
        <v>0.12726527721570213</v>
      </c>
      <c r="L315" s="495"/>
      <c r="M315" s="495"/>
      <c r="N315" s="495"/>
    </row>
    <row r="316" spans="1:14">
      <c r="A316" s="83" t="s">
        <v>90</v>
      </c>
      <c r="B316" s="112">
        <v>127800</v>
      </c>
      <c r="C316" s="140"/>
      <c r="D316" s="112"/>
      <c r="E316" s="112"/>
      <c r="F316" s="112">
        <f t="shared" si="83"/>
        <v>127800</v>
      </c>
      <c r="G316" s="118">
        <v>127800</v>
      </c>
      <c r="H316" s="112">
        <f t="shared" si="77"/>
        <v>0</v>
      </c>
      <c r="I316" s="186">
        <f t="shared" si="78"/>
        <v>0</v>
      </c>
      <c r="J316" s="112">
        <f t="shared" si="79"/>
        <v>0</v>
      </c>
      <c r="K316" s="186">
        <f t="shared" si="80"/>
        <v>0</v>
      </c>
      <c r="L316" s="495"/>
      <c r="M316" s="495"/>
      <c r="N316" s="495"/>
    </row>
    <row r="317" spans="1:14">
      <c r="A317" s="83" t="s">
        <v>408</v>
      </c>
      <c r="B317" s="112">
        <v>5000</v>
      </c>
      <c r="C317" s="140"/>
      <c r="D317" s="112"/>
      <c r="E317" s="112"/>
      <c r="F317" s="112">
        <f t="shared" si="83"/>
        <v>5000</v>
      </c>
      <c r="G317" s="118">
        <v>5000</v>
      </c>
      <c r="H317" s="112">
        <f t="shared" si="77"/>
        <v>0</v>
      </c>
      <c r="I317" s="186">
        <f t="shared" si="78"/>
        <v>0</v>
      </c>
      <c r="J317" s="112">
        <f t="shared" si="79"/>
        <v>0</v>
      </c>
      <c r="K317" s="186">
        <f t="shared" si="80"/>
        <v>0</v>
      </c>
      <c r="L317" s="495"/>
      <c r="M317" s="495"/>
      <c r="N317" s="495"/>
    </row>
    <row r="318" spans="1:14">
      <c r="A318" s="83" t="s">
        <v>240</v>
      </c>
      <c r="B318" s="112">
        <v>1000000</v>
      </c>
      <c r="C318" s="140"/>
      <c r="D318" s="112">
        <v>-125000</v>
      </c>
      <c r="E318" s="112"/>
      <c r="F318" s="112">
        <f t="shared" si="83"/>
        <v>875000</v>
      </c>
      <c r="G318" s="112">
        <v>1000338</v>
      </c>
      <c r="H318" s="112">
        <f t="shared" si="77"/>
        <v>338</v>
      </c>
      <c r="I318" s="186">
        <f t="shared" si="78"/>
        <v>3.3799999999999998E-4</v>
      </c>
      <c r="J318" s="112">
        <f t="shared" si="79"/>
        <v>125338</v>
      </c>
      <c r="K318" s="186">
        <f t="shared" si="80"/>
        <v>0.14324342857142858</v>
      </c>
      <c r="L318" s="495"/>
      <c r="M318" s="495"/>
      <c r="N318" s="495"/>
    </row>
    <row r="319" spans="1:14" ht="26.4">
      <c r="A319" s="83" t="s">
        <v>241</v>
      </c>
      <c r="B319" s="112">
        <v>960000</v>
      </c>
      <c r="C319" s="140"/>
      <c r="D319" s="112"/>
      <c r="E319" s="112"/>
      <c r="F319" s="112">
        <f t="shared" si="83"/>
        <v>960000</v>
      </c>
      <c r="G319" s="118">
        <v>1086240</v>
      </c>
      <c r="H319" s="112">
        <f t="shared" si="77"/>
        <v>126240</v>
      </c>
      <c r="I319" s="186">
        <f t="shared" si="78"/>
        <v>0.13150000000000001</v>
      </c>
      <c r="J319" s="112">
        <f t="shared" si="79"/>
        <v>126240</v>
      </c>
      <c r="K319" s="186">
        <f t="shared" si="80"/>
        <v>0.13150000000000001</v>
      </c>
      <c r="L319" s="495"/>
      <c r="M319" s="495"/>
      <c r="N319" s="495"/>
    </row>
    <row r="320" spans="1:14" ht="26.4">
      <c r="A320" s="83" t="s">
        <v>1227</v>
      </c>
      <c r="B320" s="112">
        <v>4000</v>
      </c>
      <c r="C320" s="140"/>
      <c r="D320" s="112">
        <v>5000</v>
      </c>
      <c r="E320" s="112"/>
      <c r="F320" s="112">
        <f t="shared" si="83"/>
        <v>9000</v>
      </c>
      <c r="G320" s="118">
        <v>9000</v>
      </c>
      <c r="H320" s="112">
        <f t="shared" si="77"/>
        <v>5000</v>
      </c>
      <c r="I320" s="186">
        <f t="shared" si="78"/>
        <v>1.25</v>
      </c>
      <c r="J320" s="112">
        <f t="shared" si="79"/>
        <v>0</v>
      </c>
      <c r="K320" s="186">
        <f t="shared" si="80"/>
        <v>0</v>
      </c>
      <c r="L320" s="495"/>
      <c r="M320" s="495"/>
      <c r="N320" s="495"/>
    </row>
    <row r="321" spans="1:14">
      <c r="A321" s="119" t="s">
        <v>51</v>
      </c>
      <c r="B321" s="120">
        <f>B322</f>
        <v>11700</v>
      </c>
      <c r="C321" s="140"/>
      <c r="D321" s="120"/>
      <c r="E321" s="120"/>
      <c r="F321" s="120">
        <f t="shared" si="83"/>
        <v>11700</v>
      </c>
      <c r="G321" s="120">
        <f>G322</f>
        <v>11700</v>
      </c>
      <c r="H321" s="120">
        <f t="shared" ref="H321:H383" si="95">G321-B321</f>
        <v>0</v>
      </c>
      <c r="I321" s="187">
        <f t="shared" ref="I321:I383" si="96">H321/B321</f>
        <v>0</v>
      </c>
      <c r="J321" s="120">
        <f t="shared" ref="J321:J383" si="97">G321-F321</f>
        <v>0</v>
      </c>
      <c r="K321" s="187">
        <f t="shared" ref="K321:K383" si="98">IF(G321=0,"",J321/F321)</f>
        <v>0</v>
      </c>
      <c r="L321" s="495"/>
      <c r="M321" s="495"/>
      <c r="N321" s="495"/>
    </row>
    <row r="322" spans="1:14">
      <c r="A322" s="83" t="s">
        <v>70</v>
      </c>
      <c r="B322" s="112">
        <v>11700</v>
      </c>
      <c r="C322" s="140"/>
      <c r="D322" s="112"/>
      <c r="E322" s="112"/>
      <c r="F322" s="112">
        <f t="shared" si="83"/>
        <v>11700</v>
      </c>
      <c r="G322" s="118">
        <v>11700</v>
      </c>
      <c r="H322" s="112">
        <f t="shared" si="95"/>
        <v>0</v>
      </c>
      <c r="I322" s="186">
        <f t="shared" si="96"/>
        <v>0</v>
      </c>
      <c r="J322" s="112">
        <f t="shared" si="97"/>
        <v>0</v>
      </c>
      <c r="K322" s="186">
        <f t="shared" si="98"/>
        <v>0</v>
      </c>
      <c r="L322" s="495"/>
      <c r="M322" s="495"/>
      <c r="N322" s="495"/>
    </row>
    <row r="323" spans="1:14">
      <c r="A323" s="111" t="s">
        <v>52</v>
      </c>
      <c r="B323" s="108">
        <f>B324</f>
        <v>12690</v>
      </c>
      <c r="C323" s="140"/>
      <c r="D323" s="108"/>
      <c r="E323" s="108"/>
      <c r="F323" s="108">
        <f t="shared" si="83"/>
        <v>12690</v>
      </c>
      <c r="G323" s="108">
        <f>G324</f>
        <v>12690</v>
      </c>
      <c r="H323" s="108">
        <f t="shared" si="95"/>
        <v>0</v>
      </c>
      <c r="I323" s="158">
        <f t="shared" si="96"/>
        <v>0</v>
      </c>
      <c r="J323" s="108">
        <f t="shared" si="97"/>
        <v>0</v>
      </c>
      <c r="K323" s="158">
        <f t="shared" si="98"/>
        <v>0</v>
      </c>
      <c r="L323" s="495"/>
      <c r="M323" s="495"/>
      <c r="N323" s="495"/>
    </row>
    <row r="324" spans="1:14" ht="26.4">
      <c r="A324" s="83" t="s">
        <v>71</v>
      </c>
      <c r="B324" s="112">
        <v>12690</v>
      </c>
      <c r="C324" s="140"/>
      <c r="D324" s="112"/>
      <c r="E324" s="112"/>
      <c r="F324" s="112">
        <f t="shared" si="83"/>
        <v>12690</v>
      </c>
      <c r="G324" s="118">
        <v>12690</v>
      </c>
      <c r="H324" s="112">
        <f t="shared" si="95"/>
        <v>0</v>
      </c>
      <c r="I324" s="186">
        <f t="shared" si="96"/>
        <v>0</v>
      </c>
      <c r="J324" s="112">
        <f t="shared" si="97"/>
        <v>0</v>
      </c>
      <c r="K324" s="186">
        <f t="shared" si="98"/>
        <v>0</v>
      </c>
      <c r="L324" s="495"/>
      <c r="M324" s="495"/>
      <c r="N324" s="495"/>
    </row>
    <row r="325" spans="1:14">
      <c r="A325" s="111" t="s">
        <v>60</v>
      </c>
      <c r="B325" s="108">
        <f>B326+B327</f>
        <v>4000</v>
      </c>
      <c r="C325" s="140"/>
      <c r="D325" s="108"/>
      <c r="E325" s="108"/>
      <c r="F325" s="108">
        <f t="shared" si="83"/>
        <v>4000</v>
      </c>
      <c r="G325" s="108">
        <f>G326+G327</f>
        <v>4000</v>
      </c>
      <c r="H325" s="108">
        <f t="shared" si="95"/>
        <v>0</v>
      </c>
      <c r="I325" s="158">
        <f t="shared" si="96"/>
        <v>0</v>
      </c>
      <c r="J325" s="108">
        <f t="shared" si="97"/>
        <v>0</v>
      </c>
      <c r="K325" s="158">
        <f t="shared" si="98"/>
        <v>0</v>
      </c>
      <c r="L325" s="495"/>
      <c r="M325" s="495"/>
      <c r="N325" s="495"/>
    </row>
    <row r="326" spans="1:14">
      <c r="A326" s="83" t="s">
        <v>474</v>
      </c>
      <c r="B326" s="117">
        <v>2000</v>
      </c>
      <c r="C326" s="140"/>
      <c r="D326" s="117"/>
      <c r="E326" s="117"/>
      <c r="F326" s="117">
        <f t="shared" si="83"/>
        <v>2000</v>
      </c>
      <c r="G326" s="118">
        <v>2000</v>
      </c>
      <c r="H326" s="117">
        <f t="shared" si="95"/>
        <v>0</v>
      </c>
      <c r="I326" s="189">
        <f t="shared" si="96"/>
        <v>0</v>
      </c>
      <c r="J326" s="117">
        <f t="shared" si="97"/>
        <v>0</v>
      </c>
      <c r="K326" s="189">
        <f t="shared" si="98"/>
        <v>0</v>
      </c>
      <c r="L326" s="495"/>
      <c r="M326" s="495"/>
      <c r="N326" s="495"/>
    </row>
    <row r="327" spans="1:14">
      <c r="A327" s="83" t="s">
        <v>724</v>
      </c>
      <c r="B327" s="117">
        <v>2000</v>
      </c>
      <c r="C327" s="140"/>
      <c r="D327" s="117"/>
      <c r="E327" s="117"/>
      <c r="F327" s="117">
        <f t="shared" ref="F327:F390" si="99">SUM(B327:E327)</f>
        <v>2000</v>
      </c>
      <c r="G327" s="118">
        <v>2000</v>
      </c>
      <c r="H327" s="117">
        <f t="shared" si="95"/>
        <v>0</v>
      </c>
      <c r="I327" s="189">
        <f t="shared" si="96"/>
        <v>0</v>
      </c>
      <c r="J327" s="117">
        <f t="shared" si="97"/>
        <v>0</v>
      </c>
      <c r="K327" s="189">
        <f t="shared" si="98"/>
        <v>0</v>
      </c>
      <c r="L327" s="495"/>
      <c r="M327" s="495"/>
      <c r="N327" s="495"/>
    </row>
    <row r="328" spans="1:14">
      <c r="A328" s="565" t="s">
        <v>62</v>
      </c>
      <c r="B328" s="117"/>
      <c r="C328" s="140"/>
      <c r="D328" s="117"/>
      <c r="E328" s="117"/>
      <c r="F328" s="117">
        <f t="shared" si="99"/>
        <v>0</v>
      </c>
      <c r="G328" s="108">
        <f>G329</f>
        <v>50000</v>
      </c>
      <c r="H328" s="117">
        <f t="shared" si="95"/>
        <v>50000</v>
      </c>
      <c r="I328" s="189"/>
      <c r="J328" s="117">
        <f t="shared" si="97"/>
        <v>50000</v>
      </c>
      <c r="K328" s="189"/>
      <c r="L328" s="495"/>
      <c r="M328" s="495"/>
      <c r="N328" s="495"/>
    </row>
    <row r="329" spans="1:14">
      <c r="A329" s="83" t="s">
        <v>1048</v>
      </c>
      <c r="B329" s="117"/>
      <c r="C329" s="140"/>
      <c r="D329" s="117"/>
      <c r="E329" s="117"/>
      <c r="F329" s="117">
        <f t="shared" si="99"/>
        <v>0</v>
      </c>
      <c r="G329" s="118">
        <v>50000</v>
      </c>
      <c r="H329" s="117">
        <f t="shared" si="95"/>
        <v>50000</v>
      </c>
      <c r="I329" s="189"/>
      <c r="J329" s="117">
        <f t="shared" si="97"/>
        <v>50000</v>
      </c>
      <c r="K329" s="189"/>
      <c r="L329" s="495"/>
      <c r="M329" s="495"/>
      <c r="N329" s="495"/>
    </row>
    <row r="330" spans="1:14">
      <c r="A330" s="111"/>
      <c r="B330" s="108"/>
      <c r="C330" s="140"/>
      <c r="D330" s="108"/>
      <c r="E330" s="108"/>
      <c r="F330" s="108">
        <f t="shared" si="99"/>
        <v>0</v>
      </c>
      <c r="G330" s="253"/>
      <c r="H330" s="108">
        <f t="shared" si="95"/>
        <v>0</v>
      </c>
      <c r="I330" s="158"/>
      <c r="J330" s="108">
        <f t="shared" si="97"/>
        <v>0</v>
      </c>
      <c r="K330" s="158" t="str">
        <f t="shared" si="98"/>
        <v/>
      </c>
      <c r="L330" s="495"/>
      <c r="M330" s="495"/>
      <c r="N330" s="495"/>
    </row>
    <row r="331" spans="1:14">
      <c r="A331" s="111" t="s">
        <v>634</v>
      </c>
      <c r="B331" s="108">
        <f>B332+B335+B343</f>
        <v>2247573</v>
      </c>
      <c r="C331" s="140"/>
      <c r="D331" s="108">
        <f>D332+D335+D339+D341+D343</f>
        <v>56619</v>
      </c>
      <c r="E331" s="108">
        <f>E332+E335+E339+E341+E343</f>
        <v>51700</v>
      </c>
      <c r="F331" s="108">
        <f t="shared" si="99"/>
        <v>2355892</v>
      </c>
      <c r="G331" s="108">
        <f>G332+G335+G343</f>
        <v>3179020</v>
      </c>
      <c r="H331" s="108">
        <f t="shared" si="95"/>
        <v>931447</v>
      </c>
      <c r="I331" s="158">
        <f t="shared" si="96"/>
        <v>0.41442346922658352</v>
      </c>
      <c r="J331" s="108">
        <f t="shared" si="97"/>
        <v>823128</v>
      </c>
      <c r="K331" s="158">
        <f t="shared" si="98"/>
        <v>0.34939122846038784</v>
      </c>
      <c r="L331" s="495"/>
      <c r="M331" s="495"/>
      <c r="N331" s="495"/>
    </row>
    <row r="332" spans="1:14">
      <c r="A332" s="169" t="s">
        <v>62</v>
      </c>
      <c r="B332" s="359">
        <f>B333</f>
        <v>216301</v>
      </c>
      <c r="C332" s="140"/>
      <c r="D332" s="359">
        <f>D333</f>
        <v>39119</v>
      </c>
      <c r="E332" s="359">
        <f>E333</f>
        <v>4600</v>
      </c>
      <c r="F332" s="359">
        <f t="shared" si="99"/>
        <v>260020</v>
      </c>
      <c r="G332" s="494">
        <f>G333+G334</f>
        <v>283320</v>
      </c>
      <c r="H332" s="359">
        <f t="shared" si="95"/>
        <v>67019</v>
      </c>
      <c r="I332" s="282">
        <f t="shared" si="96"/>
        <v>0.30984137844947551</v>
      </c>
      <c r="J332" s="359">
        <f t="shared" si="97"/>
        <v>23300</v>
      </c>
      <c r="K332" s="282">
        <f t="shared" si="98"/>
        <v>8.9608491654488115E-2</v>
      </c>
      <c r="L332" s="495"/>
      <c r="M332" s="495"/>
      <c r="N332" s="495"/>
    </row>
    <row r="333" spans="1:14">
      <c r="A333" s="82" t="s">
        <v>475</v>
      </c>
      <c r="B333" s="118">
        <v>216301</v>
      </c>
      <c r="C333" s="140"/>
      <c r="D333" s="118">
        <v>39119</v>
      </c>
      <c r="E333" s="118">
        <v>4600</v>
      </c>
      <c r="F333" s="118">
        <f t="shared" si="99"/>
        <v>260020</v>
      </c>
      <c r="G333" s="118">
        <v>237046</v>
      </c>
      <c r="H333" s="118">
        <f t="shared" si="95"/>
        <v>20745</v>
      </c>
      <c r="I333" s="159">
        <f t="shared" si="96"/>
        <v>9.5908017068806889E-2</v>
      </c>
      <c r="J333" s="118">
        <f t="shared" si="97"/>
        <v>-22974</v>
      </c>
      <c r="K333" s="159">
        <f t="shared" si="98"/>
        <v>-8.8354741942927473E-2</v>
      </c>
      <c r="L333" s="495"/>
      <c r="M333" s="495"/>
      <c r="N333" s="495"/>
    </row>
    <row r="334" spans="1:14">
      <c r="A334" s="82" t="s">
        <v>819</v>
      </c>
      <c r="B334" s="118"/>
      <c r="C334" s="140"/>
      <c r="D334" s="118"/>
      <c r="E334" s="118"/>
      <c r="F334" s="118">
        <f t="shared" si="99"/>
        <v>0</v>
      </c>
      <c r="G334" s="118">
        <v>46274</v>
      </c>
      <c r="H334" s="118">
        <f t="shared" si="95"/>
        <v>46274</v>
      </c>
      <c r="I334" s="159"/>
      <c r="J334" s="118">
        <f t="shared" si="97"/>
        <v>46274</v>
      </c>
      <c r="K334" s="159"/>
      <c r="L334" s="495"/>
      <c r="M334" s="495"/>
      <c r="N334" s="495"/>
    </row>
    <row r="335" spans="1:14">
      <c r="A335" s="111" t="s">
        <v>61</v>
      </c>
      <c r="B335" s="108">
        <f>B336+B337</f>
        <v>2029672</v>
      </c>
      <c r="C335" s="140"/>
      <c r="D335" s="108">
        <f>D336+D337</f>
        <v>3000</v>
      </c>
      <c r="E335" s="108">
        <f>E336+E337</f>
        <v>47100</v>
      </c>
      <c r="F335" s="108">
        <f t="shared" si="99"/>
        <v>2079772</v>
      </c>
      <c r="G335" s="108">
        <f>G336+G337+G338</f>
        <v>2894100</v>
      </c>
      <c r="H335" s="108">
        <f t="shared" si="95"/>
        <v>864428</v>
      </c>
      <c r="I335" s="158">
        <f t="shared" si="96"/>
        <v>0.42589541561395139</v>
      </c>
      <c r="J335" s="108">
        <f t="shared" si="97"/>
        <v>814328</v>
      </c>
      <c r="K335" s="158">
        <f t="shared" si="98"/>
        <v>0.3915467657031636</v>
      </c>
      <c r="L335" s="495"/>
      <c r="M335" s="495"/>
      <c r="N335" s="495"/>
    </row>
    <row r="336" spans="1:14">
      <c r="A336" s="83" t="s">
        <v>89</v>
      </c>
      <c r="B336" s="112">
        <v>9000</v>
      </c>
      <c r="C336" s="140"/>
      <c r="D336" s="112">
        <v>3000</v>
      </c>
      <c r="E336" s="112">
        <v>47100</v>
      </c>
      <c r="F336" s="112">
        <f t="shared" si="99"/>
        <v>59100</v>
      </c>
      <c r="G336" s="112">
        <v>12000</v>
      </c>
      <c r="H336" s="112">
        <f t="shared" si="95"/>
        <v>3000</v>
      </c>
      <c r="I336" s="186">
        <f t="shared" si="96"/>
        <v>0.33333333333333331</v>
      </c>
      <c r="J336" s="112">
        <f t="shared" si="97"/>
        <v>-47100</v>
      </c>
      <c r="K336" s="186">
        <f t="shared" si="98"/>
        <v>-0.79695431472081213</v>
      </c>
      <c r="L336" s="495"/>
      <c r="M336" s="495"/>
      <c r="N336" s="495"/>
    </row>
    <row r="337" spans="1:14">
      <c r="A337" s="83" t="s">
        <v>88</v>
      </c>
      <c r="B337" s="112">
        <v>2020672</v>
      </c>
      <c r="C337" s="140"/>
      <c r="D337" s="112"/>
      <c r="E337" s="112"/>
      <c r="F337" s="112">
        <f t="shared" si="99"/>
        <v>2020672</v>
      </c>
      <c r="G337" s="143">
        <v>2396300</v>
      </c>
      <c r="H337" s="112">
        <f t="shared" si="95"/>
        <v>375628</v>
      </c>
      <c r="I337" s="186">
        <f t="shared" si="96"/>
        <v>0.18589261394229248</v>
      </c>
      <c r="J337" s="112">
        <f t="shared" si="97"/>
        <v>375628</v>
      </c>
      <c r="K337" s="186">
        <f t="shared" si="98"/>
        <v>0.18589261394229248</v>
      </c>
      <c r="L337" s="495"/>
      <c r="M337" s="495"/>
      <c r="N337" s="495"/>
    </row>
    <row r="338" spans="1:14">
      <c r="A338" s="83" t="s">
        <v>820</v>
      </c>
      <c r="B338" s="112"/>
      <c r="C338" s="140"/>
      <c r="D338" s="112"/>
      <c r="E338" s="112"/>
      <c r="F338" s="112">
        <f t="shared" si="99"/>
        <v>0</v>
      </c>
      <c r="G338" s="143">
        <v>485800</v>
      </c>
      <c r="H338" s="112">
        <f t="shared" si="95"/>
        <v>485800</v>
      </c>
      <c r="I338" s="186"/>
      <c r="J338" s="112">
        <f t="shared" si="97"/>
        <v>485800</v>
      </c>
      <c r="K338" s="186"/>
      <c r="L338" s="495"/>
      <c r="M338" s="495"/>
      <c r="N338" s="495"/>
    </row>
    <row r="339" spans="1:14">
      <c r="A339" s="111" t="s">
        <v>60</v>
      </c>
      <c r="B339" s="112"/>
      <c r="C339" s="140"/>
      <c r="D339" s="108">
        <f>D340</f>
        <v>1500</v>
      </c>
      <c r="E339" s="108">
        <f>E340</f>
        <v>0</v>
      </c>
      <c r="F339" s="112">
        <f t="shared" si="99"/>
        <v>1500</v>
      </c>
      <c r="G339" s="143"/>
      <c r="H339" s="112">
        <f t="shared" si="95"/>
        <v>0</v>
      </c>
      <c r="I339" s="186"/>
      <c r="J339" s="112">
        <f t="shared" si="97"/>
        <v>-1500</v>
      </c>
      <c r="K339" s="186" t="str">
        <f t="shared" si="98"/>
        <v/>
      </c>
      <c r="L339" s="495"/>
      <c r="M339" s="495"/>
      <c r="N339" s="495"/>
    </row>
    <row r="340" spans="1:14">
      <c r="A340" s="83" t="s">
        <v>474</v>
      </c>
      <c r="B340" s="112"/>
      <c r="C340" s="140"/>
      <c r="D340" s="118">
        <v>1500</v>
      </c>
      <c r="E340" s="118"/>
      <c r="F340" s="112">
        <f t="shared" si="99"/>
        <v>1500</v>
      </c>
      <c r="G340" s="143"/>
      <c r="H340" s="112">
        <f t="shared" si="95"/>
        <v>0</v>
      </c>
      <c r="I340" s="186"/>
      <c r="J340" s="112">
        <f t="shared" si="97"/>
        <v>-1500</v>
      </c>
      <c r="K340" s="186" t="str">
        <f t="shared" si="98"/>
        <v/>
      </c>
      <c r="L340" s="495"/>
      <c r="M340" s="495"/>
      <c r="N340" s="495"/>
    </row>
    <row r="341" spans="1:14">
      <c r="A341" s="111" t="s">
        <v>51</v>
      </c>
      <c r="B341" s="112"/>
      <c r="C341" s="140"/>
      <c r="D341" s="610">
        <f>D342</f>
        <v>13000</v>
      </c>
      <c r="E341" s="610">
        <f>E342</f>
        <v>0</v>
      </c>
      <c r="F341" s="112">
        <f t="shared" si="99"/>
        <v>13000</v>
      </c>
      <c r="G341" s="143"/>
      <c r="H341" s="112">
        <f t="shared" si="95"/>
        <v>0</v>
      </c>
      <c r="I341" s="186"/>
      <c r="J341" s="112">
        <f t="shared" si="97"/>
        <v>-13000</v>
      </c>
      <c r="K341" s="186" t="str">
        <f t="shared" si="98"/>
        <v/>
      </c>
      <c r="L341" s="495"/>
      <c r="M341" s="495"/>
      <c r="N341" s="495"/>
    </row>
    <row r="342" spans="1:14">
      <c r="A342" s="83" t="s">
        <v>70</v>
      </c>
      <c r="B342" s="112"/>
      <c r="C342" s="140"/>
      <c r="D342" s="112">
        <v>13000</v>
      </c>
      <c r="E342" s="112"/>
      <c r="F342" s="112">
        <f t="shared" si="99"/>
        <v>13000</v>
      </c>
      <c r="G342" s="143"/>
      <c r="H342" s="112">
        <f t="shared" si="95"/>
        <v>0</v>
      </c>
      <c r="I342" s="186"/>
      <c r="J342" s="112">
        <f t="shared" si="97"/>
        <v>-13000</v>
      </c>
      <c r="K342" s="186" t="str">
        <f t="shared" si="98"/>
        <v/>
      </c>
      <c r="L342" s="495"/>
      <c r="M342" s="495"/>
      <c r="N342" s="495"/>
    </row>
    <row r="343" spans="1:14">
      <c r="A343" s="111" t="s">
        <v>52</v>
      </c>
      <c r="B343" s="108">
        <f>B344</f>
        <v>1600</v>
      </c>
      <c r="C343" s="140"/>
      <c r="D343" s="108"/>
      <c r="E343" s="108"/>
      <c r="F343" s="108">
        <f t="shared" si="99"/>
        <v>1600</v>
      </c>
      <c r="G343" s="108">
        <f>G344</f>
        <v>1600</v>
      </c>
      <c r="H343" s="108">
        <f t="shared" si="95"/>
        <v>0</v>
      </c>
      <c r="I343" s="158">
        <f t="shared" si="96"/>
        <v>0</v>
      </c>
      <c r="J343" s="108">
        <f t="shared" si="97"/>
        <v>0</v>
      </c>
      <c r="K343" s="158">
        <f t="shared" si="98"/>
        <v>0</v>
      </c>
      <c r="L343" s="495"/>
      <c r="M343" s="495"/>
      <c r="N343" s="495"/>
    </row>
    <row r="344" spans="1:14" ht="26.4">
      <c r="A344" s="83" t="s">
        <v>71</v>
      </c>
      <c r="B344" s="112">
        <v>1600</v>
      </c>
      <c r="C344" s="140"/>
      <c r="D344" s="112"/>
      <c r="E344" s="112"/>
      <c r="F344" s="112">
        <f t="shared" si="99"/>
        <v>1600</v>
      </c>
      <c r="G344" s="498">
        <v>1600</v>
      </c>
      <c r="H344" s="112">
        <f t="shared" si="95"/>
        <v>0</v>
      </c>
      <c r="I344" s="186">
        <f t="shared" si="96"/>
        <v>0</v>
      </c>
      <c r="J344" s="112">
        <f t="shared" si="97"/>
        <v>0</v>
      </c>
      <c r="K344" s="186">
        <f t="shared" si="98"/>
        <v>0</v>
      </c>
      <c r="L344" s="495"/>
      <c r="M344" s="495"/>
      <c r="N344" s="495"/>
    </row>
    <row r="345" spans="1:14">
      <c r="A345" s="111"/>
      <c r="B345" s="108"/>
      <c r="C345" s="140"/>
      <c r="D345" s="108"/>
      <c r="E345" s="108"/>
      <c r="F345" s="108">
        <f t="shared" si="99"/>
        <v>0</v>
      </c>
      <c r="G345" s="496"/>
      <c r="H345" s="108">
        <f t="shared" si="95"/>
        <v>0</v>
      </c>
      <c r="I345" s="158"/>
      <c r="J345" s="108">
        <f t="shared" si="97"/>
        <v>0</v>
      </c>
      <c r="K345" s="158" t="str">
        <f t="shared" si="98"/>
        <v/>
      </c>
      <c r="L345" s="495"/>
      <c r="M345" s="495"/>
      <c r="N345" s="495"/>
    </row>
    <row r="346" spans="1:14">
      <c r="A346" s="111" t="s">
        <v>635</v>
      </c>
      <c r="B346" s="108">
        <f>B347+B354+B357</f>
        <v>411578</v>
      </c>
      <c r="C346" s="108">
        <f t="shared" ref="C346" si="100">C347+C354+C357</f>
        <v>0</v>
      </c>
      <c r="D346" s="108">
        <f>D347+D354+D357+D352</f>
        <v>66180</v>
      </c>
      <c r="E346" s="108">
        <f>E347+E354+E357+E352</f>
        <v>21400</v>
      </c>
      <c r="F346" s="108">
        <f t="shared" si="99"/>
        <v>499158</v>
      </c>
      <c r="G346" s="108">
        <f>G347+G354+G357</f>
        <v>533649</v>
      </c>
      <c r="H346" s="108">
        <f t="shared" si="95"/>
        <v>122071</v>
      </c>
      <c r="I346" s="158">
        <f t="shared" si="96"/>
        <v>0.29659262642804035</v>
      </c>
      <c r="J346" s="108">
        <f t="shared" si="97"/>
        <v>34491</v>
      </c>
      <c r="K346" s="158">
        <f t="shared" si="98"/>
        <v>6.9098361641003456E-2</v>
      </c>
      <c r="L346" s="495"/>
      <c r="M346" s="495"/>
      <c r="N346" s="495"/>
    </row>
    <row r="347" spans="1:14">
      <c r="A347" s="111" t="s">
        <v>61</v>
      </c>
      <c r="B347" s="108">
        <f>B348+B349+B350+B351</f>
        <v>380296</v>
      </c>
      <c r="C347" s="108">
        <f t="shared" ref="C347:E347" si="101">C348+C349+C350+C351</f>
        <v>0</v>
      </c>
      <c r="D347" s="108">
        <f t="shared" si="101"/>
        <v>64500</v>
      </c>
      <c r="E347" s="108">
        <f t="shared" si="101"/>
        <v>17800</v>
      </c>
      <c r="F347" s="108">
        <f t="shared" si="99"/>
        <v>462596</v>
      </c>
      <c r="G347" s="108">
        <f>G348+G349+G350+G351</f>
        <v>490812</v>
      </c>
      <c r="H347" s="108">
        <f t="shared" si="95"/>
        <v>110516</v>
      </c>
      <c r="I347" s="158">
        <f t="shared" si="96"/>
        <v>0.29060521278162271</v>
      </c>
      <c r="J347" s="108">
        <f t="shared" si="97"/>
        <v>28216</v>
      </c>
      <c r="K347" s="158">
        <f t="shared" si="98"/>
        <v>6.0994907003086928E-2</v>
      </c>
      <c r="L347" s="495"/>
      <c r="M347" s="495"/>
      <c r="N347" s="495"/>
    </row>
    <row r="348" spans="1:14">
      <c r="A348" s="83" t="s">
        <v>89</v>
      </c>
      <c r="B348" s="112">
        <v>45000</v>
      </c>
      <c r="C348" s="140"/>
      <c r="D348" s="112"/>
      <c r="E348" s="112">
        <v>4800</v>
      </c>
      <c r="F348" s="112">
        <f t="shared" si="99"/>
        <v>49800</v>
      </c>
      <c r="G348" s="498">
        <v>45100</v>
      </c>
      <c r="H348" s="112">
        <f t="shared" si="95"/>
        <v>100</v>
      </c>
      <c r="I348" s="186">
        <f t="shared" si="96"/>
        <v>2.2222222222222222E-3</v>
      </c>
      <c r="J348" s="112">
        <f t="shared" si="97"/>
        <v>-4700</v>
      </c>
      <c r="K348" s="186">
        <f t="shared" si="98"/>
        <v>-9.4377510040160636E-2</v>
      </c>
      <c r="L348" s="495"/>
      <c r="M348" s="495"/>
      <c r="N348" s="495"/>
    </row>
    <row r="349" spans="1:14">
      <c r="A349" s="83" t="s">
        <v>88</v>
      </c>
      <c r="B349" s="112">
        <v>25296</v>
      </c>
      <c r="C349" s="140"/>
      <c r="D349" s="112"/>
      <c r="E349" s="112">
        <v>7000</v>
      </c>
      <c r="F349" s="112">
        <f t="shared" si="99"/>
        <v>32296</v>
      </c>
      <c r="G349" s="498">
        <v>28985</v>
      </c>
      <c r="H349" s="112">
        <f t="shared" si="95"/>
        <v>3689</v>
      </c>
      <c r="I349" s="186">
        <f t="shared" si="96"/>
        <v>0.14583333333333334</v>
      </c>
      <c r="J349" s="112">
        <f t="shared" si="97"/>
        <v>-3311</v>
      </c>
      <c r="K349" s="186">
        <f t="shared" si="98"/>
        <v>-0.10252043596730245</v>
      </c>
      <c r="L349" s="495"/>
      <c r="M349" s="495"/>
      <c r="N349" s="495"/>
    </row>
    <row r="350" spans="1:14">
      <c r="A350" s="83" t="s">
        <v>240</v>
      </c>
      <c r="B350" s="112">
        <v>60000</v>
      </c>
      <c r="C350" s="140"/>
      <c r="D350" s="118">
        <v>22000</v>
      </c>
      <c r="E350" s="118">
        <v>6000</v>
      </c>
      <c r="F350" s="112">
        <f t="shared" si="99"/>
        <v>88000</v>
      </c>
      <c r="G350" s="143">
        <v>124344</v>
      </c>
      <c r="H350" s="112">
        <f t="shared" si="95"/>
        <v>64344</v>
      </c>
      <c r="I350" s="186">
        <f t="shared" si="96"/>
        <v>1.0724</v>
      </c>
      <c r="J350" s="112">
        <f t="shared" si="97"/>
        <v>36344</v>
      </c>
      <c r="K350" s="186">
        <f t="shared" si="98"/>
        <v>0.41299999999999998</v>
      </c>
      <c r="L350" s="495"/>
      <c r="M350" s="495"/>
      <c r="N350" s="495"/>
    </row>
    <row r="351" spans="1:14" ht="26.4">
      <c r="A351" s="83" t="s">
        <v>241</v>
      </c>
      <c r="B351" s="112">
        <v>250000</v>
      </c>
      <c r="C351" s="140"/>
      <c r="D351" s="118">
        <v>42500</v>
      </c>
      <c r="E351" s="118"/>
      <c r="F351" s="112">
        <f t="shared" si="99"/>
        <v>292500</v>
      </c>
      <c r="G351" s="143">
        <v>292383</v>
      </c>
      <c r="H351" s="112">
        <f t="shared" si="95"/>
        <v>42383</v>
      </c>
      <c r="I351" s="186">
        <f t="shared" si="96"/>
        <v>0.16953199999999999</v>
      </c>
      <c r="J351" s="112">
        <f t="shared" si="97"/>
        <v>-117</v>
      </c>
      <c r="K351" s="186">
        <f t="shared" si="98"/>
        <v>-4.0000000000000002E-4</v>
      </c>
      <c r="L351" s="495"/>
      <c r="M351" s="495"/>
      <c r="N351" s="495"/>
    </row>
    <row r="352" spans="1:14">
      <c r="A352" s="111" t="s">
        <v>60</v>
      </c>
      <c r="B352" s="112"/>
      <c r="C352" s="140"/>
      <c r="D352" s="108">
        <f>D353</f>
        <v>1680</v>
      </c>
      <c r="E352" s="108">
        <f>E353</f>
        <v>0</v>
      </c>
      <c r="F352" s="112">
        <f t="shared" si="99"/>
        <v>1680</v>
      </c>
      <c r="G352" s="143"/>
      <c r="H352" s="112">
        <f t="shared" si="95"/>
        <v>0</v>
      </c>
      <c r="I352" s="186"/>
      <c r="J352" s="112">
        <f t="shared" si="97"/>
        <v>-1680</v>
      </c>
      <c r="K352" s="186" t="str">
        <f t="shared" si="98"/>
        <v/>
      </c>
      <c r="L352" s="495"/>
      <c r="M352" s="495"/>
      <c r="N352" s="495"/>
    </row>
    <row r="353" spans="1:14">
      <c r="A353" s="83" t="s">
        <v>474</v>
      </c>
      <c r="B353" s="112"/>
      <c r="C353" s="140"/>
      <c r="D353" s="118">
        <v>1680</v>
      </c>
      <c r="E353" s="118"/>
      <c r="F353" s="112">
        <f t="shared" si="99"/>
        <v>1680</v>
      </c>
      <c r="G353" s="143"/>
      <c r="H353" s="112">
        <f t="shared" si="95"/>
        <v>0</v>
      </c>
      <c r="I353" s="186"/>
      <c r="J353" s="112">
        <f t="shared" si="97"/>
        <v>-1680</v>
      </c>
      <c r="K353" s="186" t="str">
        <f t="shared" si="98"/>
        <v/>
      </c>
      <c r="L353" s="495"/>
      <c r="M353" s="495"/>
      <c r="N353" s="495"/>
    </row>
    <row r="354" spans="1:14">
      <c r="A354" s="111" t="s">
        <v>51</v>
      </c>
      <c r="B354" s="108">
        <f>B355+B356</f>
        <v>17282</v>
      </c>
      <c r="C354" s="140"/>
      <c r="D354" s="108"/>
      <c r="E354" s="108">
        <f>E355+E356</f>
        <v>3600</v>
      </c>
      <c r="F354" s="108">
        <f t="shared" si="99"/>
        <v>20882</v>
      </c>
      <c r="G354" s="108">
        <f>G355+G356</f>
        <v>24337</v>
      </c>
      <c r="H354" s="108">
        <f t="shared" si="95"/>
        <v>7055</v>
      </c>
      <c r="I354" s="158">
        <f t="shared" si="96"/>
        <v>0.40822821432704548</v>
      </c>
      <c r="J354" s="108">
        <f t="shared" si="97"/>
        <v>3455</v>
      </c>
      <c r="K354" s="158">
        <f t="shared" si="98"/>
        <v>0.16545350062254574</v>
      </c>
      <c r="L354" s="495"/>
      <c r="M354" s="495"/>
      <c r="N354" s="495"/>
    </row>
    <row r="355" spans="1:14">
      <c r="A355" s="82" t="s">
        <v>69</v>
      </c>
      <c r="B355" s="118">
        <v>8782</v>
      </c>
      <c r="C355" s="140"/>
      <c r="D355" s="118"/>
      <c r="E355" s="118"/>
      <c r="F355" s="118">
        <f t="shared" si="99"/>
        <v>8782</v>
      </c>
      <c r="G355" s="498">
        <v>9137</v>
      </c>
      <c r="H355" s="118">
        <f t="shared" si="95"/>
        <v>355</v>
      </c>
      <c r="I355" s="159">
        <f t="shared" si="96"/>
        <v>4.0423593714415854E-2</v>
      </c>
      <c r="J355" s="118">
        <f t="shared" si="97"/>
        <v>355</v>
      </c>
      <c r="K355" s="159">
        <f t="shared" si="98"/>
        <v>4.0423593714415854E-2</v>
      </c>
      <c r="L355" s="495"/>
      <c r="M355" s="495"/>
      <c r="N355" s="495"/>
    </row>
    <row r="356" spans="1:14">
      <c r="A356" s="82" t="s">
        <v>70</v>
      </c>
      <c r="B356" s="118">
        <v>8500</v>
      </c>
      <c r="C356" s="140"/>
      <c r="D356" s="118"/>
      <c r="E356" s="118">
        <v>3600</v>
      </c>
      <c r="F356" s="118">
        <f t="shared" si="99"/>
        <v>12100</v>
      </c>
      <c r="G356" s="498">
        <v>15200</v>
      </c>
      <c r="H356" s="118">
        <f t="shared" si="95"/>
        <v>6700</v>
      </c>
      <c r="I356" s="159">
        <f t="shared" si="96"/>
        <v>0.78823529411764703</v>
      </c>
      <c r="J356" s="118">
        <f t="shared" si="97"/>
        <v>3100</v>
      </c>
      <c r="K356" s="159">
        <f t="shared" si="98"/>
        <v>0.256198347107438</v>
      </c>
      <c r="L356" s="495"/>
      <c r="M356" s="495"/>
      <c r="N356" s="495"/>
    </row>
    <row r="357" spans="1:14">
      <c r="A357" s="111" t="s">
        <v>52</v>
      </c>
      <c r="B357" s="108">
        <f>B358</f>
        <v>14000</v>
      </c>
      <c r="C357" s="140"/>
      <c r="D357" s="108"/>
      <c r="E357" s="108"/>
      <c r="F357" s="108">
        <f t="shared" si="99"/>
        <v>14000</v>
      </c>
      <c r="G357" s="108">
        <f>G358</f>
        <v>18500</v>
      </c>
      <c r="H357" s="108">
        <f t="shared" si="95"/>
        <v>4500</v>
      </c>
      <c r="I357" s="158">
        <f t="shared" si="96"/>
        <v>0.32142857142857145</v>
      </c>
      <c r="J357" s="108">
        <f t="shared" si="97"/>
        <v>4500</v>
      </c>
      <c r="K357" s="158">
        <f t="shared" si="98"/>
        <v>0.32142857142857145</v>
      </c>
      <c r="L357" s="495"/>
      <c r="M357" s="495"/>
      <c r="N357" s="495"/>
    </row>
    <row r="358" spans="1:14" ht="26.4">
      <c r="A358" s="83" t="s">
        <v>71</v>
      </c>
      <c r="B358" s="112">
        <v>14000</v>
      </c>
      <c r="C358" s="140"/>
      <c r="D358" s="112"/>
      <c r="E358" s="112"/>
      <c r="F358" s="112">
        <f t="shared" si="99"/>
        <v>14000</v>
      </c>
      <c r="G358" s="498">
        <v>18500</v>
      </c>
      <c r="H358" s="112">
        <f t="shared" si="95"/>
        <v>4500</v>
      </c>
      <c r="I358" s="186">
        <f t="shared" si="96"/>
        <v>0.32142857142857145</v>
      </c>
      <c r="J358" s="112">
        <f t="shared" si="97"/>
        <v>4500</v>
      </c>
      <c r="K358" s="186">
        <f t="shared" si="98"/>
        <v>0.32142857142857145</v>
      </c>
      <c r="L358" s="495"/>
      <c r="M358" s="495"/>
      <c r="N358" s="495"/>
    </row>
    <row r="359" spans="1:14">
      <c r="A359" s="83"/>
      <c r="B359" s="112"/>
      <c r="C359" s="140"/>
      <c r="D359" s="112"/>
      <c r="E359" s="112"/>
      <c r="F359" s="112">
        <f t="shared" si="99"/>
        <v>0</v>
      </c>
      <c r="G359" s="496"/>
      <c r="H359" s="112">
        <f t="shared" si="95"/>
        <v>0</v>
      </c>
      <c r="I359" s="186"/>
      <c r="J359" s="112">
        <f t="shared" si="97"/>
        <v>0</v>
      </c>
      <c r="K359" s="186" t="str">
        <f t="shared" si="98"/>
        <v/>
      </c>
      <c r="L359" s="495"/>
      <c r="M359" s="495"/>
      <c r="N359" s="495"/>
    </row>
    <row r="360" spans="1:14">
      <c r="A360" s="111" t="s">
        <v>636</v>
      </c>
      <c r="B360" s="108">
        <f>B361+B365</f>
        <v>486000</v>
      </c>
      <c r="C360" s="108">
        <f t="shared" ref="C360:E360" si="102">C361+C365</f>
        <v>0</v>
      </c>
      <c r="D360" s="108">
        <f t="shared" si="102"/>
        <v>0</v>
      </c>
      <c r="E360" s="108">
        <f t="shared" si="102"/>
        <v>26300</v>
      </c>
      <c r="F360" s="108">
        <f t="shared" si="99"/>
        <v>512300</v>
      </c>
      <c r="G360" s="108">
        <f>G361+G365</f>
        <v>545290</v>
      </c>
      <c r="H360" s="108">
        <f t="shared" si="95"/>
        <v>59290</v>
      </c>
      <c r="I360" s="158">
        <f t="shared" si="96"/>
        <v>0.12199588477366255</v>
      </c>
      <c r="J360" s="108">
        <f t="shared" si="97"/>
        <v>32990</v>
      </c>
      <c r="K360" s="158">
        <f t="shared" si="98"/>
        <v>6.4395861799726728E-2</v>
      </c>
      <c r="L360" s="495"/>
      <c r="M360" s="495"/>
      <c r="N360" s="495"/>
    </row>
    <row r="361" spans="1:14">
      <c r="A361" s="111" t="s">
        <v>61</v>
      </c>
      <c r="B361" s="108">
        <f>B362+B363+B364</f>
        <v>212000</v>
      </c>
      <c r="C361" s="108">
        <f t="shared" ref="C361:E361" si="103">C362+C363+C364</f>
        <v>0</v>
      </c>
      <c r="D361" s="108">
        <f t="shared" si="103"/>
        <v>-14000</v>
      </c>
      <c r="E361" s="108">
        <f t="shared" si="103"/>
        <v>7700</v>
      </c>
      <c r="F361" s="108">
        <f t="shared" si="99"/>
        <v>205700</v>
      </c>
      <c r="G361" s="108">
        <f>G362+G363+G364</f>
        <v>211670</v>
      </c>
      <c r="H361" s="108">
        <f t="shared" si="95"/>
        <v>-330</v>
      </c>
      <c r="I361" s="158">
        <f t="shared" si="96"/>
        <v>-1.5566037735849057E-3</v>
      </c>
      <c r="J361" s="108">
        <f t="shared" si="97"/>
        <v>5970</v>
      </c>
      <c r="K361" s="158">
        <f t="shared" si="98"/>
        <v>2.9022848808945064E-2</v>
      </c>
      <c r="L361" s="495"/>
      <c r="M361" s="495"/>
      <c r="N361" s="495"/>
    </row>
    <row r="362" spans="1:14">
      <c r="A362" s="83" t="s">
        <v>91</v>
      </c>
      <c r="B362" s="112">
        <v>8400</v>
      </c>
      <c r="C362" s="140"/>
      <c r="D362" s="112"/>
      <c r="E362" s="112">
        <v>300</v>
      </c>
      <c r="F362" s="112">
        <f t="shared" si="99"/>
        <v>8700</v>
      </c>
      <c r="G362" s="143">
        <v>8450</v>
      </c>
      <c r="H362" s="112">
        <f t="shared" si="95"/>
        <v>50</v>
      </c>
      <c r="I362" s="186">
        <f t="shared" si="96"/>
        <v>5.9523809523809521E-3</v>
      </c>
      <c r="J362" s="112">
        <f t="shared" si="97"/>
        <v>-250</v>
      </c>
      <c r="K362" s="186">
        <f t="shared" si="98"/>
        <v>-2.8735632183908046E-2</v>
      </c>
      <c r="L362" s="495"/>
      <c r="M362" s="495"/>
      <c r="N362" s="495"/>
    </row>
    <row r="363" spans="1:14">
      <c r="A363" s="83" t="s">
        <v>88</v>
      </c>
      <c r="B363" s="112">
        <v>203000</v>
      </c>
      <c r="C363" s="140"/>
      <c r="D363" s="112">
        <v>-14000</v>
      </c>
      <c r="E363" s="112">
        <v>7400</v>
      </c>
      <c r="F363" s="112">
        <f t="shared" si="99"/>
        <v>196400</v>
      </c>
      <c r="G363" s="143">
        <v>202620</v>
      </c>
      <c r="H363" s="112">
        <f t="shared" si="95"/>
        <v>-380</v>
      </c>
      <c r="I363" s="186">
        <f t="shared" si="96"/>
        <v>-1.8719211822660099E-3</v>
      </c>
      <c r="J363" s="112">
        <f t="shared" si="97"/>
        <v>6220</v>
      </c>
      <c r="K363" s="186">
        <f t="shared" si="98"/>
        <v>3.1670061099796337E-2</v>
      </c>
      <c r="L363" s="495"/>
      <c r="M363" s="495"/>
      <c r="N363" s="495"/>
    </row>
    <row r="364" spans="1:14">
      <c r="A364" s="83" t="s">
        <v>180</v>
      </c>
      <c r="B364" s="112">
        <v>600</v>
      </c>
      <c r="C364" s="140"/>
      <c r="D364" s="112"/>
      <c r="E364" s="112"/>
      <c r="F364" s="112">
        <f t="shared" si="99"/>
        <v>600</v>
      </c>
      <c r="G364" s="498">
        <v>600</v>
      </c>
      <c r="H364" s="112">
        <f t="shared" si="95"/>
        <v>0</v>
      </c>
      <c r="I364" s="186">
        <f t="shared" si="96"/>
        <v>0</v>
      </c>
      <c r="J364" s="112">
        <f t="shared" si="97"/>
        <v>0</v>
      </c>
      <c r="K364" s="186">
        <f t="shared" si="98"/>
        <v>0</v>
      </c>
      <c r="L364" s="495"/>
      <c r="M364" s="495"/>
      <c r="N364" s="495"/>
    </row>
    <row r="365" spans="1:14">
      <c r="A365" s="169" t="s">
        <v>59</v>
      </c>
      <c r="B365" s="359">
        <f>B366</f>
        <v>274000</v>
      </c>
      <c r="C365" s="359">
        <f t="shared" ref="C365:E365" si="104">C366</f>
        <v>0</v>
      </c>
      <c r="D365" s="359">
        <f t="shared" si="104"/>
        <v>14000</v>
      </c>
      <c r="E365" s="359">
        <f t="shared" si="104"/>
        <v>18600</v>
      </c>
      <c r="F365" s="359">
        <f t="shared" si="99"/>
        <v>306600</v>
      </c>
      <c r="G365" s="494">
        <f>G366</f>
        <v>333620</v>
      </c>
      <c r="H365" s="359">
        <f t="shared" si="95"/>
        <v>59620</v>
      </c>
      <c r="I365" s="282">
        <f t="shared" si="96"/>
        <v>0.21759124087591242</v>
      </c>
      <c r="J365" s="359">
        <f t="shared" si="97"/>
        <v>27020</v>
      </c>
      <c r="K365" s="282">
        <f t="shared" si="98"/>
        <v>8.8127853881278542E-2</v>
      </c>
      <c r="L365" s="495"/>
      <c r="M365" s="495"/>
      <c r="N365" s="495"/>
    </row>
    <row r="366" spans="1:14">
      <c r="A366" s="116" t="s">
        <v>476</v>
      </c>
      <c r="B366" s="117">
        <v>274000</v>
      </c>
      <c r="C366" s="140"/>
      <c r="D366" s="117">
        <v>14000</v>
      </c>
      <c r="E366" s="117">
        <v>18600</v>
      </c>
      <c r="F366" s="117">
        <f t="shared" si="99"/>
        <v>306600</v>
      </c>
      <c r="G366" s="143">
        <v>333620</v>
      </c>
      <c r="H366" s="117">
        <f t="shared" si="95"/>
        <v>59620</v>
      </c>
      <c r="I366" s="189">
        <f t="shared" si="96"/>
        <v>0.21759124087591242</v>
      </c>
      <c r="J366" s="117">
        <f t="shared" si="97"/>
        <v>27020</v>
      </c>
      <c r="K366" s="189">
        <f t="shared" si="98"/>
        <v>8.8127853881278542E-2</v>
      </c>
      <c r="L366" s="495"/>
      <c r="M366" s="495"/>
      <c r="N366" s="495"/>
    </row>
    <row r="367" spans="1:14">
      <c r="A367" s="170"/>
      <c r="B367" s="171"/>
      <c r="C367" s="140"/>
      <c r="D367" s="171"/>
      <c r="E367" s="171"/>
      <c r="F367" s="171">
        <f t="shared" si="99"/>
        <v>0</v>
      </c>
      <c r="G367" s="496"/>
      <c r="H367" s="171">
        <f t="shared" si="95"/>
        <v>0</v>
      </c>
      <c r="I367" s="192"/>
      <c r="J367" s="171">
        <f t="shared" si="97"/>
        <v>0</v>
      </c>
      <c r="K367" s="192" t="str">
        <f t="shared" si="98"/>
        <v/>
      </c>
      <c r="L367" s="495"/>
      <c r="M367" s="495"/>
      <c r="N367" s="495"/>
    </row>
    <row r="368" spans="1:14">
      <c r="A368" s="111" t="s">
        <v>725</v>
      </c>
      <c r="B368" s="108">
        <f>B369</f>
        <v>14283070</v>
      </c>
      <c r="C368" s="108">
        <f t="shared" ref="C368:E368" si="105">C369</f>
        <v>0</v>
      </c>
      <c r="D368" s="108">
        <f t="shared" si="105"/>
        <v>1895132</v>
      </c>
      <c r="E368" s="108">
        <f t="shared" si="105"/>
        <v>81653</v>
      </c>
      <c r="F368" s="108">
        <f t="shared" si="99"/>
        <v>16259855</v>
      </c>
      <c r="G368" s="108">
        <f>G369</f>
        <v>15555157</v>
      </c>
      <c r="H368" s="108">
        <f t="shared" si="95"/>
        <v>1272087</v>
      </c>
      <c r="I368" s="158">
        <f t="shared" si="96"/>
        <v>8.9062575482721854E-2</v>
      </c>
      <c r="J368" s="108">
        <f t="shared" si="97"/>
        <v>-704698</v>
      </c>
      <c r="K368" s="158">
        <f t="shared" si="98"/>
        <v>-4.3339746879661599E-2</v>
      </c>
      <c r="L368" s="495"/>
      <c r="M368" s="495"/>
      <c r="N368" s="495"/>
    </row>
    <row r="369" spans="1:14">
      <c r="A369" s="111" t="s">
        <v>62</v>
      </c>
      <c r="B369" s="108">
        <f>B370+B371+B372</f>
        <v>14283070</v>
      </c>
      <c r="C369" s="108">
        <f t="shared" ref="C369:E369" si="106">C370+C371+C372</f>
        <v>0</v>
      </c>
      <c r="D369" s="108">
        <f t="shared" si="106"/>
        <v>1895132</v>
      </c>
      <c r="E369" s="108">
        <f t="shared" si="106"/>
        <v>81653</v>
      </c>
      <c r="F369" s="108">
        <f t="shared" si="99"/>
        <v>16259855</v>
      </c>
      <c r="G369" s="108">
        <f>G370+G371+G372</f>
        <v>15555157</v>
      </c>
      <c r="H369" s="108">
        <f t="shared" si="95"/>
        <v>1272087</v>
      </c>
      <c r="I369" s="158">
        <f t="shared" si="96"/>
        <v>8.9062575482721854E-2</v>
      </c>
      <c r="J369" s="108">
        <f t="shared" si="97"/>
        <v>-704698</v>
      </c>
      <c r="K369" s="158">
        <f t="shared" si="98"/>
        <v>-4.3339746879661599E-2</v>
      </c>
      <c r="L369" s="495"/>
      <c r="M369" s="495"/>
      <c r="N369" s="495"/>
    </row>
    <row r="370" spans="1:14">
      <c r="A370" s="83" t="s">
        <v>409</v>
      </c>
      <c r="B370" s="112">
        <v>13946000</v>
      </c>
      <c r="C370" s="140"/>
      <c r="D370" s="118">
        <v>1843202</v>
      </c>
      <c r="E370" s="118">
        <v>11073</v>
      </c>
      <c r="F370" s="112">
        <f t="shared" si="99"/>
        <v>15800275</v>
      </c>
      <c r="G370" s="143">
        <v>15102157</v>
      </c>
      <c r="H370" s="112">
        <f t="shared" si="95"/>
        <v>1156157</v>
      </c>
      <c r="I370" s="186">
        <f t="shared" si="96"/>
        <v>8.2902409292987242E-2</v>
      </c>
      <c r="J370" s="112">
        <f t="shared" si="97"/>
        <v>-698118</v>
      </c>
      <c r="K370" s="186">
        <f t="shared" si="98"/>
        <v>-4.4183914520475119E-2</v>
      </c>
      <c r="L370" s="495"/>
      <c r="M370" s="495"/>
      <c r="N370" s="495"/>
    </row>
    <row r="371" spans="1:14">
      <c r="A371" s="83" t="s">
        <v>410</v>
      </c>
      <c r="B371" s="112">
        <v>100000</v>
      </c>
      <c r="C371" s="140"/>
      <c r="D371" s="112"/>
      <c r="E371" s="112">
        <v>34000</v>
      </c>
      <c r="F371" s="112">
        <f t="shared" si="99"/>
        <v>134000</v>
      </c>
      <c r="G371" s="143">
        <v>120300</v>
      </c>
      <c r="H371" s="112">
        <f t="shared" si="95"/>
        <v>20300</v>
      </c>
      <c r="I371" s="186">
        <f t="shared" si="96"/>
        <v>0.20300000000000001</v>
      </c>
      <c r="J371" s="112">
        <f t="shared" si="97"/>
        <v>-13700</v>
      </c>
      <c r="K371" s="186">
        <f t="shared" si="98"/>
        <v>-0.10223880597014925</v>
      </c>
      <c r="L371" s="495"/>
      <c r="M371" s="495"/>
      <c r="N371" s="495"/>
    </row>
    <row r="372" spans="1:14">
      <c r="A372" s="83" t="s">
        <v>180</v>
      </c>
      <c r="B372" s="112">
        <v>237070</v>
      </c>
      <c r="C372" s="140"/>
      <c r="D372" s="118">
        <v>51930</v>
      </c>
      <c r="E372" s="118">
        <v>36580</v>
      </c>
      <c r="F372" s="112">
        <f t="shared" si="99"/>
        <v>325580</v>
      </c>
      <c r="G372" s="143">
        <v>332700</v>
      </c>
      <c r="H372" s="112">
        <f t="shared" si="95"/>
        <v>95630</v>
      </c>
      <c r="I372" s="186">
        <f t="shared" si="96"/>
        <v>0.40338296705614374</v>
      </c>
      <c r="J372" s="112">
        <f t="shared" si="97"/>
        <v>7120</v>
      </c>
      <c r="K372" s="186">
        <f t="shared" si="98"/>
        <v>2.1868665151422079E-2</v>
      </c>
      <c r="L372" s="495"/>
      <c r="M372" s="495"/>
      <c r="N372" s="495"/>
    </row>
    <row r="373" spans="1:14" s="21" customFormat="1">
      <c r="A373" s="83"/>
      <c r="B373" s="112"/>
      <c r="C373" s="140"/>
      <c r="D373" s="112"/>
      <c r="E373" s="112"/>
      <c r="F373" s="112">
        <f t="shared" si="99"/>
        <v>0</v>
      </c>
      <c r="G373" s="496"/>
      <c r="H373" s="112">
        <f t="shared" si="95"/>
        <v>0</v>
      </c>
      <c r="I373" s="186"/>
      <c r="J373" s="112">
        <f t="shared" si="97"/>
        <v>0</v>
      </c>
      <c r="K373" s="186" t="str">
        <f t="shared" si="98"/>
        <v/>
      </c>
      <c r="L373" s="140"/>
      <c r="M373" s="140"/>
      <c r="N373" s="140"/>
    </row>
    <row r="374" spans="1:14">
      <c r="A374" s="111" t="s">
        <v>726</v>
      </c>
      <c r="B374" s="108">
        <f>B375</f>
        <v>162000</v>
      </c>
      <c r="C374" s="108">
        <f t="shared" ref="C374:E375" si="107">C375</f>
        <v>0</v>
      </c>
      <c r="D374" s="108">
        <f t="shared" si="107"/>
        <v>20000</v>
      </c>
      <c r="E374" s="108">
        <f t="shared" si="107"/>
        <v>10000</v>
      </c>
      <c r="F374" s="108">
        <f t="shared" si="99"/>
        <v>192000</v>
      </c>
      <c r="G374" s="108">
        <f>G375</f>
        <v>328500</v>
      </c>
      <c r="H374" s="108">
        <f t="shared" si="95"/>
        <v>166500</v>
      </c>
      <c r="I374" s="158">
        <f t="shared" si="96"/>
        <v>1.0277777777777777</v>
      </c>
      <c r="J374" s="108">
        <f t="shared" si="97"/>
        <v>136500</v>
      </c>
      <c r="K374" s="158">
        <f t="shared" si="98"/>
        <v>0.7109375</v>
      </c>
      <c r="L374" s="495"/>
      <c r="M374" s="495"/>
      <c r="N374" s="495"/>
    </row>
    <row r="375" spans="1:14">
      <c r="A375" s="111" t="s">
        <v>61</v>
      </c>
      <c r="B375" s="108">
        <f>B376</f>
        <v>162000</v>
      </c>
      <c r="C375" s="108">
        <f t="shared" si="107"/>
        <v>0</v>
      </c>
      <c r="D375" s="108">
        <f>D376+D377</f>
        <v>20000</v>
      </c>
      <c r="E375" s="108">
        <f>E376+E377</f>
        <v>10000</v>
      </c>
      <c r="F375" s="108">
        <f t="shared" si="99"/>
        <v>192000</v>
      </c>
      <c r="G375" s="108">
        <f>G376</f>
        <v>328500</v>
      </c>
      <c r="H375" s="108">
        <f t="shared" si="95"/>
        <v>166500</v>
      </c>
      <c r="I375" s="158">
        <f t="shared" si="96"/>
        <v>1.0277777777777777</v>
      </c>
      <c r="J375" s="108">
        <f t="shared" si="97"/>
        <v>136500</v>
      </c>
      <c r="K375" s="158">
        <f t="shared" si="98"/>
        <v>0.7109375</v>
      </c>
      <c r="L375" s="495"/>
      <c r="M375" s="495"/>
      <c r="N375" s="495"/>
    </row>
    <row r="376" spans="1:14">
      <c r="A376" s="83" t="s">
        <v>727</v>
      </c>
      <c r="B376" s="112">
        <v>162000</v>
      </c>
      <c r="C376" s="140"/>
      <c r="D376" s="112"/>
      <c r="E376" s="112"/>
      <c r="F376" s="112">
        <f t="shared" si="99"/>
        <v>162000</v>
      </c>
      <c r="G376" s="498">
        <v>328500</v>
      </c>
      <c r="H376" s="112">
        <f t="shared" si="95"/>
        <v>166500</v>
      </c>
      <c r="I376" s="186">
        <f t="shared" si="96"/>
        <v>1.0277777777777777</v>
      </c>
      <c r="J376" s="112">
        <f t="shared" si="97"/>
        <v>166500</v>
      </c>
      <c r="K376" s="186">
        <f t="shared" si="98"/>
        <v>1.0277777777777777</v>
      </c>
      <c r="L376" s="495"/>
      <c r="M376" s="495"/>
      <c r="N376" s="495"/>
    </row>
    <row r="377" spans="1:14" s="21" customFormat="1">
      <c r="A377" s="83" t="s">
        <v>88</v>
      </c>
      <c r="B377" s="118"/>
      <c r="C377" s="140"/>
      <c r="D377" s="112">
        <v>20000</v>
      </c>
      <c r="E377" s="112">
        <v>10000</v>
      </c>
      <c r="F377" s="112">
        <f t="shared" si="99"/>
        <v>30000</v>
      </c>
      <c r="G377" s="496"/>
      <c r="H377" s="112">
        <f t="shared" si="95"/>
        <v>0</v>
      </c>
      <c r="I377" s="186"/>
      <c r="J377" s="112">
        <f t="shared" si="97"/>
        <v>-30000</v>
      </c>
      <c r="K377" s="186" t="str">
        <f t="shared" si="98"/>
        <v/>
      </c>
      <c r="L377" s="140"/>
      <c r="M377" s="140"/>
      <c r="N377" s="140"/>
    </row>
    <row r="378" spans="1:14">
      <c r="A378" s="82"/>
      <c r="B378" s="118"/>
      <c r="C378" s="21"/>
      <c r="D378" s="118"/>
      <c r="E378" s="118"/>
      <c r="F378" s="118">
        <f t="shared" si="99"/>
        <v>0</v>
      </c>
      <c r="G378" s="254"/>
      <c r="H378" s="118">
        <f t="shared" si="95"/>
        <v>0</v>
      </c>
      <c r="I378" s="159"/>
      <c r="J378" s="118">
        <f t="shared" si="97"/>
        <v>0</v>
      </c>
      <c r="K378" s="159" t="str">
        <f t="shared" si="98"/>
        <v/>
      </c>
    </row>
    <row r="379" spans="1:14">
      <c r="A379" s="106" t="s">
        <v>637</v>
      </c>
      <c r="B379" s="107">
        <f>B380+B384+B388</f>
        <v>6853000</v>
      </c>
      <c r="C379" s="107">
        <f t="shared" ref="C379:E379" si="108">C380+C384+C388</f>
        <v>0</v>
      </c>
      <c r="D379" s="107">
        <f t="shared" si="108"/>
        <v>1202000</v>
      </c>
      <c r="E379" s="107">
        <f t="shared" si="108"/>
        <v>1269600</v>
      </c>
      <c r="F379" s="107">
        <f t="shared" si="99"/>
        <v>9324600</v>
      </c>
      <c r="G379" s="107">
        <f t="shared" ref="G379" si="109">G380+G384+G388</f>
        <v>9451000</v>
      </c>
      <c r="H379" s="107">
        <f t="shared" si="95"/>
        <v>2598000</v>
      </c>
      <c r="I379" s="156">
        <f t="shared" si="96"/>
        <v>0.37910404202539033</v>
      </c>
      <c r="J379" s="107">
        <f t="shared" si="97"/>
        <v>126400</v>
      </c>
      <c r="K379" s="156">
        <f t="shared" si="98"/>
        <v>1.3555541256461403E-2</v>
      </c>
    </row>
    <row r="380" spans="1:14">
      <c r="A380" s="111" t="s">
        <v>59</v>
      </c>
      <c r="B380" s="108">
        <f>B381+B382+B383</f>
        <v>3756000</v>
      </c>
      <c r="C380" s="108">
        <f t="shared" ref="C380:E380" si="110">C381+C382+C383</f>
        <v>0</v>
      </c>
      <c r="D380" s="108">
        <f t="shared" si="110"/>
        <v>600000</v>
      </c>
      <c r="E380" s="108">
        <f t="shared" si="110"/>
        <v>900000</v>
      </c>
      <c r="F380" s="108">
        <f t="shared" si="99"/>
        <v>5256000</v>
      </c>
      <c r="G380" s="108">
        <f t="shared" ref="G380" si="111">G381+G382+G383</f>
        <v>4656000</v>
      </c>
      <c r="H380" s="108">
        <f t="shared" si="95"/>
        <v>900000</v>
      </c>
      <c r="I380" s="158">
        <f t="shared" si="96"/>
        <v>0.23961661341853036</v>
      </c>
      <c r="J380" s="108">
        <f t="shared" si="97"/>
        <v>-600000</v>
      </c>
      <c r="K380" s="158">
        <f t="shared" si="98"/>
        <v>-0.11415525114155251</v>
      </c>
    </row>
    <row r="381" spans="1:14">
      <c r="A381" s="82" t="s">
        <v>86</v>
      </c>
      <c r="B381" s="118">
        <v>1646000</v>
      </c>
      <c r="C381" s="21"/>
      <c r="D381" s="118"/>
      <c r="E381" s="118"/>
      <c r="F381" s="118">
        <f t="shared" si="99"/>
        <v>1646000</v>
      </c>
      <c r="G381" s="118">
        <v>1646000</v>
      </c>
      <c r="H381" s="118">
        <f t="shared" si="95"/>
        <v>0</v>
      </c>
      <c r="I381" s="159">
        <f t="shared" si="96"/>
        <v>0</v>
      </c>
      <c r="J381" s="118">
        <f t="shared" si="97"/>
        <v>0</v>
      </c>
      <c r="K381" s="159">
        <f t="shared" si="98"/>
        <v>0</v>
      </c>
    </row>
    <row r="382" spans="1:14">
      <c r="A382" s="82" t="s">
        <v>70</v>
      </c>
      <c r="B382" s="118">
        <v>2100000</v>
      </c>
      <c r="C382" s="21"/>
      <c r="D382" s="118">
        <v>600000</v>
      </c>
      <c r="E382" s="118">
        <v>900000</v>
      </c>
      <c r="F382" s="118">
        <f t="shared" si="99"/>
        <v>3600000</v>
      </c>
      <c r="G382" s="118">
        <f>2100000+900000</f>
        <v>3000000</v>
      </c>
      <c r="H382" s="118">
        <f t="shared" si="95"/>
        <v>900000</v>
      </c>
      <c r="I382" s="159">
        <f t="shared" si="96"/>
        <v>0.42857142857142855</v>
      </c>
      <c r="J382" s="118">
        <f t="shared" si="97"/>
        <v>-600000</v>
      </c>
      <c r="K382" s="159">
        <f t="shared" si="98"/>
        <v>-0.16666666666666666</v>
      </c>
    </row>
    <row r="383" spans="1:14">
      <c r="A383" s="82" t="s">
        <v>243</v>
      </c>
      <c r="B383" s="118">
        <v>10000</v>
      </c>
      <c r="C383" s="21"/>
      <c r="D383" s="118"/>
      <c r="E383" s="118"/>
      <c r="F383" s="118">
        <f t="shared" si="99"/>
        <v>10000</v>
      </c>
      <c r="G383" s="118">
        <v>10000</v>
      </c>
      <c r="H383" s="118">
        <f t="shared" si="95"/>
        <v>0</v>
      </c>
      <c r="I383" s="159">
        <f t="shared" si="96"/>
        <v>0</v>
      </c>
      <c r="J383" s="118">
        <f t="shared" si="97"/>
        <v>0</v>
      </c>
      <c r="K383" s="159">
        <f t="shared" si="98"/>
        <v>0</v>
      </c>
    </row>
    <row r="384" spans="1:14">
      <c r="A384" s="111" t="s">
        <v>51</v>
      </c>
      <c r="B384" s="108">
        <f>B385+B387+B386</f>
        <v>3093000</v>
      </c>
      <c r="C384" s="108">
        <f t="shared" ref="C384:E384" si="112">C385+C387+C386</f>
        <v>0</v>
      </c>
      <c r="D384" s="108">
        <f t="shared" si="112"/>
        <v>602000</v>
      </c>
      <c r="E384" s="108">
        <f t="shared" si="112"/>
        <v>369600</v>
      </c>
      <c r="F384" s="108">
        <f t="shared" si="99"/>
        <v>4064600</v>
      </c>
      <c r="G384" s="108">
        <f>G385+G387+G386</f>
        <v>4791000</v>
      </c>
      <c r="H384" s="108">
        <f t="shared" ref="H384:H447" si="113">G384-B384</f>
        <v>1698000</v>
      </c>
      <c r="I384" s="158">
        <f t="shared" ref="I384:I446" si="114">H384/B384</f>
        <v>0.54898157129000968</v>
      </c>
      <c r="J384" s="108">
        <f t="shared" ref="J384:J447" si="115">G384-F384</f>
        <v>726400</v>
      </c>
      <c r="K384" s="158">
        <f t="shared" ref="K384:K447" si="116">IF(G384=0,"",J384/F384)</f>
        <v>0.17871377257294691</v>
      </c>
    </row>
    <row r="385" spans="1:11">
      <c r="A385" s="82" t="s">
        <v>69</v>
      </c>
      <c r="B385" s="118">
        <v>1362000</v>
      </c>
      <c r="C385" s="21"/>
      <c r="D385" s="118">
        <v>-78000</v>
      </c>
      <c r="E385" s="118">
        <f>-84000+3600</f>
        <v>-80400</v>
      </c>
      <c r="F385" s="118">
        <f t="shared" si="99"/>
        <v>1203600</v>
      </c>
      <c r="G385" s="118">
        <v>1365000</v>
      </c>
      <c r="H385" s="118">
        <f t="shared" si="113"/>
        <v>3000</v>
      </c>
      <c r="I385" s="159">
        <f t="shared" si="114"/>
        <v>2.2026431718061676E-3</v>
      </c>
      <c r="J385" s="118">
        <f t="shared" si="115"/>
        <v>161400</v>
      </c>
      <c r="K385" s="159">
        <f t="shared" si="116"/>
        <v>0.13409770687936193</v>
      </c>
    </row>
    <row r="386" spans="1:11">
      <c r="A386" s="82" t="s">
        <v>477</v>
      </c>
      <c r="B386" s="118">
        <v>520000</v>
      </c>
      <c r="C386" s="21"/>
      <c r="D386" s="118"/>
      <c r="E386" s="118"/>
      <c r="F386" s="118">
        <f t="shared" si="99"/>
        <v>520000</v>
      </c>
      <c r="G386" s="118">
        <v>550000</v>
      </c>
      <c r="H386" s="118">
        <f t="shared" si="113"/>
        <v>30000</v>
      </c>
      <c r="I386" s="159">
        <f t="shared" si="114"/>
        <v>5.7692307692307696E-2</v>
      </c>
      <c r="J386" s="118">
        <f t="shared" si="115"/>
        <v>30000</v>
      </c>
      <c r="K386" s="159">
        <f t="shared" si="116"/>
        <v>5.7692307692307696E-2</v>
      </c>
    </row>
    <row r="387" spans="1:11">
      <c r="A387" s="82" t="s">
        <v>70</v>
      </c>
      <c r="B387" s="118">
        <v>1211000</v>
      </c>
      <c r="C387" s="21"/>
      <c r="D387" s="118">
        <v>680000</v>
      </c>
      <c r="E387" s="118">
        <v>450000</v>
      </c>
      <c r="F387" s="118">
        <f t="shared" si="99"/>
        <v>2341000</v>
      </c>
      <c r="G387" s="118">
        <f>F387+220000+165000+150000</f>
        <v>2876000</v>
      </c>
      <c r="H387" s="118">
        <f t="shared" si="113"/>
        <v>1665000</v>
      </c>
      <c r="I387" s="159">
        <f t="shared" si="114"/>
        <v>1.3748967795210569</v>
      </c>
      <c r="J387" s="118">
        <f t="shared" si="115"/>
        <v>535000</v>
      </c>
      <c r="K387" s="159">
        <f t="shared" si="116"/>
        <v>0.22853481418197352</v>
      </c>
    </row>
    <row r="388" spans="1:11">
      <c r="A388" s="122" t="s">
        <v>53</v>
      </c>
      <c r="B388" s="81">
        <f>SUM(B389)</f>
        <v>4000</v>
      </c>
      <c r="C388" s="21"/>
      <c r="D388" s="81"/>
      <c r="E388" s="81"/>
      <c r="F388" s="81">
        <f t="shared" si="99"/>
        <v>4000</v>
      </c>
      <c r="G388" s="81">
        <f t="shared" ref="G388" si="117">SUM(G389)</f>
        <v>4000</v>
      </c>
      <c r="H388" s="81">
        <f t="shared" si="113"/>
        <v>0</v>
      </c>
      <c r="I388" s="92">
        <f t="shared" si="114"/>
        <v>0</v>
      </c>
      <c r="J388" s="81">
        <f t="shared" si="115"/>
        <v>0</v>
      </c>
      <c r="K388" s="92">
        <f t="shared" si="116"/>
        <v>0</v>
      </c>
    </row>
    <row r="389" spans="1:11">
      <c r="A389" s="82" t="s">
        <v>72</v>
      </c>
      <c r="B389" s="118">
        <v>4000</v>
      </c>
      <c r="C389" s="21"/>
      <c r="D389" s="118"/>
      <c r="E389" s="118"/>
      <c r="F389" s="118">
        <f t="shared" si="99"/>
        <v>4000</v>
      </c>
      <c r="G389" s="118">
        <v>4000</v>
      </c>
      <c r="H389" s="118">
        <f t="shared" si="113"/>
        <v>0</v>
      </c>
      <c r="I389" s="159">
        <f t="shared" si="114"/>
        <v>0</v>
      </c>
      <c r="J389" s="118">
        <f t="shared" si="115"/>
        <v>0</v>
      </c>
      <c r="K389" s="159">
        <f t="shared" si="116"/>
        <v>0</v>
      </c>
    </row>
    <row r="390" spans="1:11">
      <c r="A390" s="82"/>
      <c r="B390" s="118"/>
      <c r="C390" s="21"/>
      <c r="D390" s="118"/>
      <c r="E390" s="118"/>
      <c r="F390" s="118">
        <f t="shared" si="99"/>
        <v>0</v>
      </c>
      <c r="G390" s="118"/>
      <c r="H390" s="118">
        <f t="shared" si="113"/>
        <v>0</v>
      </c>
      <c r="I390" s="159"/>
      <c r="J390" s="118">
        <f t="shared" si="115"/>
        <v>0</v>
      </c>
      <c r="K390" s="159" t="str">
        <f t="shared" si="116"/>
        <v/>
      </c>
    </row>
    <row r="391" spans="1:11">
      <c r="A391" s="106" t="s">
        <v>638</v>
      </c>
      <c r="B391" s="107">
        <f>SUM(B392,B396)</f>
        <v>1367700</v>
      </c>
      <c r="C391" s="21"/>
      <c r="D391" s="107"/>
      <c r="E391" s="107">
        <f>SUM(E392,E396)</f>
        <v>14700</v>
      </c>
      <c r="F391" s="107">
        <f t="shared" ref="F391:F454" si="118">SUM(B391:E391)</f>
        <v>1382400</v>
      </c>
      <c r="G391" s="107">
        <f t="shared" ref="G391" si="119">SUM(G392,G396)</f>
        <v>1378400</v>
      </c>
      <c r="H391" s="107">
        <f t="shared" si="113"/>
        <v>10700</v>
      </c>
      <c r="I391" s="156">
        <f t="shared" si="114"/>
        <v>7.8233530745046437E-3</v>
      </c>
      <c r="J391" s="107">
        <f t="shared" si="115"/>
        <v>-4000</v>
      </c>
      <c r="K391" s="156">
        <f t="shared" si="116"/>
        <v>-2.8935185185185184E-3</v>
      </c>
    </row>
    <row r="392" spans="1:11">
      <c r="A392" s="111" t="s">
        <v>63</v>
      </c>
      <c r="B392" s="108">
        <f>SUM(B393:B395)</f>
        <v>1363700</v>
      </c>
      <c r="C392" s="21"/>
      <c r="D392" s="108"/>
      <c r="E392" s="108">
        <f>SUM(E393:E395)</f>
        <v>14700</v>
      </c>
      <c r="F392" s="108">
        <f t="shared" si="118"/>
        <v>1378400</v>
      </c>
      <c r="G392" s="108">
        <f t="shared" ref="G392" si="120">SUM(G393:G395)</f>
        <v>1374400</v>
      </c>
      <c r="H392" s="108">
        <f t="shared" si="113"/>
        <v>10700</v>
      </c>
      <c r="I392" s="158">
        <f t="shared" si="114"/>
        <v>7.846300505976388E-3</v>
      </c>
      <c r="J392" s="108">
        <f t="shared" si="115"/>
        <v>-4000</v>
      </c>
      <c r="K392" s="158">
        <f t="shared" si="116"/>
        <v>-2.901915264074289E-3</v>
      </c>
    </row>
    <row r="393" spans="1:11">
      <c r="A393" s="83" t="s">
        <v>244</v>
      </c>
      <c r="B393" s="112">
        <v>1328110</v>
      </c>
      <c r="C393" s="21"/>
      <c r="D393" s="112"/>
      <c r="E393" s="112"/>
      <c r="F393" s="112">
        <f t="shared" si="118"/>
        <v>1328110</v>
      </c>
      <c r="G393" s="141">
        <v>1328110</v>
      </c>
      <c r="H393" s="112">
        <f t="shared" si="113"/>
        <v>0</v>
      </c>
      <c r="I393" s="186">
        <f t="shared" si="114"/>
        <v>0</v>
      </c>
      <c r="J393" s="112">
        <f t="shared" si="115"/>
        <v>0</v>
      </c>
      <c r="K393" s="186">
        <f t="shared" si="116"/>
        <v>0</v>
      </c>
    </row>
    <row r="394" spans="1:11" ht="26.4">
      <c r="A394" s="83" t="s">
        <v>245</v>
      </c>
      <c r="B394" s="112">
        <v>14290</v>
      </c>
      <c r="C394" s="21"/>
      <c r="D394" s="112"/>
      <c r="E394" s="112"/>
      <c r="F394" s="112">
        <f t="shared" si="118"/>
        <v>14290</v>
      </c>
      <c r="G394" s="112">
        <v>14290</v>
      </c>
      <c r="H394" s="112">
        <f t="shared" si="113"/>
        <v>0</v>
      </c>
      <c r="I394" s="186">
        <f t="shared" si="114"/>
        <v>0</v>
      </c>
      <c r="J394" s="112">
        <f t="shared" si="115"/>
        <v>0</v>
      </c>
      <c r="K394" s="186">
        <f t="shared" si="116"/>
        <v>0</v>
      </c>
    </row>
    <row r="395" spans="1:11">
      <c r="A395" s="83" t="s">
        <v>246</v>
      </c>
      <c r="B395" s="112">
        <v>21300</v>
      </c>
      <c r="C395" s="21"/>
      <c r="D395" s="112"/>
      <c r="E395" s="112">
        <v>14700</v>
      </c>
      <c r="F395" s="112">
        <f t="shared" si="118"/>
        <v>36000</v>
      </c>
      <c r="G395" s="112">
        <f>21300+10700</f>
        <v>32000</v>
      </c>
      <c r="H395" s="112">
        <f t="shared" si="113"/>
        <v>10700</v>
      </c>
      <c r="I395" s="186">
        <f t="shared" si="114"/>
        <v>0.50234741784037562</v>
      </c>
      <c r="J395" s="112">
        <f t="shared" si="115"/>
        <v>-4000</v>
      </c>
      <c r="K395" s="186">
        <f t="shared" si="116"/>
        <v>-0.1111111111111111</v>
      </c>
    </row>
    <row r="396" spans="1:11">
      <c r="A396" s="111" t="s">
        <v>52</v>
      </c>
      <c r="B396" s="108">
        <f t="shared" ref="B396" si="121">SUM(B397)</f>
        <v>4000</v>
      </c>
      <c r="C396" s="21"/>
      <c r="D396" s="108"/>
      <c r="E396" s="108"/>
      <c r="F396" s="108">
        <f t="shared" si="118"/>
        <v>4000</v>
      </c>
      <c r="G396" s="108">
        <f>SUM(G397)</f>
        <v>4000</v>
      </c>
      <c r="H396" s="108">
        <f t="shared" si="113"/>
        <v>0</v>
      </c>
      <c r="I396" s="158">
        <f t="shared" si="114"/>
        <v>0</v>
      </c>
      <c r="J396" s="108">
        <f t="shared" si="115"/>
        <v>0</v>
      </c>
      <c r="K396" s="158">
        <f t="shared" si="116"/>
        <v>0</v>
      </c>
    </row>
    <row r="397" spans="1:11" ht="26.4">
      <c r="A397" s="83" t="s">
        <v>71</v>
      </c>
      <c r="B397" s="112">
        <v>4000</v>
      </c>
      <c r="C397" s="21"/>
      <c r="D397" s="112"/>
      <c r="E397" s="112"/>
      <c r="F397" s="112">
        <f t="shared" si="118"/>
        <v>4000</v>
      </c>
      <c r="G397" s="112">
        <v>4000</v>
      </c>
      <c r="H397" s="112">
        <f t="shared" si="113"/>
        <v>0</v>
      </c>
      <c r="I397" s="186">
        <f t="shared" si="114"/>
        <v>0</v>
      </c>
      <c r="J397" s="112">
        <f t="shared" si="115"/>
        <v>0</v>
      </c>
      <c r="K397" s="186">
        <f t="shared" si="116"/>
        <v>0</v>
      </c>
    </row>
    <row r="398" spans="1:11">
      <c r="A398" s="111"/>
      <c r="B398" s="108"/>
      <c r="C398" s="21"/>
      <c r="D398" s="108"/>
      <c r="E398" s="108"/>
      <c r="F398" s="108">
        <f t="shared" si="118"/>
        <v>0</v>
      </c>
      <c r="G398" s="254"/>
      <c r="H398" s="108">
        <f t="shared" si="113"/>
        <v>0</v>
      </c>
      <c r="I398" s="158"/>
      <c r="J398" s="108">
        <f t="shared" si="115"/>
        <v>0</v>
      </c>
      <c r="K398" s="158" t="str">
        <f t="shared" si="116"/>
        <v/>
      </c>
    </row>
    <row r="399" spans="1:11">
      <c r="A399" s="106" t="s">
        <v>639</v>
      </c>
      <c r="B399" s="107">
        <f>SUM(B401,B413,B437,B428)</f>
        <v>3622320</v>
      </c>
      <c r="C399" s="107">
        <f t="shared" ref="C399:D399" si="122">SUM(C401,C413,C437,C428)</f>
        <v>0</v>
      </c>
      <c r="D399" s="107">
        <f t="shared" si="122"/>
        <v>-21486</v>
      </c>
      <c r="E399" s="107">
        <f>SUM(E401,E413,E437,E428)</f>
        <v>161850</v>
      </c>
      <c r="F399" s="107">
        <f t="shared" si="118"/>
        <v>3762684</v>
      </c>
      <c r="G399" s="107">
        <f t="shared" ref="G399" si="123">SUM(G401,G413,G437,G428)</f>
        <v>4094886</v>
      </c>
      <c r="H399" s="107">
        <f t="shared" si="113"/>
        <v>472566</v>
      </c>
      <c r="I399" s="156">
        <f t="shared" si="114"/>
        <v>0.13045948452925196</v>
      </c>
      <c r="J399" s="107">
        <f t="shared" si="115"/>
        <v>332202</v>
      </c>
      <c r="K399" s="156">
        <f t="shared" si="116"/>
        <v>8.8288572731592657E-2</v>
      </c>
    </row>
    <row r="400" spans="1:11">
      <c r="A400" s="111"/>
      <c r="B400" s="108"/>
      <c r="C400" s="108"/>
      <c r="D400" s="108"/>
      <c r="E400" s="108"/>
      <c r="F400" s="108">
        <f t="shared" si="118"/>
        <v>0</v>
      </c>
      <c r="G400" s="108"/>
      <c r="H400" s="108">
        <f t="shared" si="113"/>
        <v>0</v>
      </c>
      <c r="I400" s="158"/>
      <c r="J400" s="108">
        <f t="shared" si="115"/>
        <v>0</v>
      </c>
      <c r="K400" s="158" t="str">
        <f t="shared" si="116"/>
        <v/>
      </c>
    </row>
    <row r="401" spans="1:11">
      <c r="A401" s="111" t="s">
        <v>640</v>
      </c>
      <c r="B401" s="108">
        <f>B402+B404+B408+B410</f>
        <v>606202</v>
      </c>
      <c r="C401" s="108">
        <f t="shared" ref="C401:D401" si="124">C402+C404+C408+C410</f>
        <v>0</v>
      </c>
      <c r="D401" s="108">
        <f t="shared" si="124"/>
        <v>-46221</v>
      </c>
      <c r="E401" s="108">
        <f>E402+E404+E408+E410</f>
        <v>0</v>
      </c>
      <c r="F401" s="108">
        <f t="shared" si="118"/>
        <v>559981</v>
      </c>
      <c r="G401" s="108">
        <f t="shared" ref="G401" si="125">G402+G404+G408+G410</f>
        <v>611244</v>
      </c>
      <c r="H401" s="108">
        <f t="shared" si="113"/>
        <v>5042</v>
      </c>
      <c r="I401" s="158">
        <f t="shared" si="114"/>
        <v>8.3173595600146491E-3</v>
      </c>
      <c r="J401" s="108">
        <f t="shared" si="115"/>
        <v>51263</v>
      </c>
      <c r="K401" s="158">
        <f t="shared" si="116"/>
        <v>9.1544177391732928E-2</v>
      </c>
    </row>
    <row r="402" spans="1:11">
      <c r="A402" s="111" t="s">
        <v>58</v>
      </c>
      <c r="B402" s="108">
        <f>SUM(B403)</f>
        <v>130000</v>
      </c>
      <c r="C402" s="21"/>
      <c r="D402" s="108"/>
      <c r="E402" s="108">
        <f>SUM(E403)</f>
        <v>-10000</v>
      </c>
      <c r="F402" s="108">
        <f t="shared" si="118"/>
        <v>120000</v>
      </c>
      <c r="G402" s="108">
        <f t="shared" ref="G402" si="126">SUM(G403)</f>
        <v>130000</v>
      </c>
      <c r="H402" s="108">
        <f t="shared" si="113"/>
        <v>0</v>
      </c>
      <c r="I402" s="158">
        <f t="shared" si="114"/>
        <v>0</v>
      </c>
      <c r="J402" s="108">
        <f t="shared" si="115"/>
        <v>10000</v>
      </c>
      <c r="K402" s="158">
        <f t="shared" si="116"/>
        <v>8.3333333333333329E-2</v>
      </c>
    </row>
    <row r="403" spans="1:11">
      <c r="A403" s="82" t="s">
        <v>247</v>
      </c>
      <c r="B403" s="118">
        <v>130000</v>
      </c>
      <c r="C403" s="21"/>
      <c r="D403" s="118"/>
      <c r="E403" s="118">
        <v>-10000</v>
      </c>
      <c r="F403" s="118">
        <f t="shared" si="118"/>
        <v>120000</v>
      </c>
      <c r="G403" s="118">
        <v>130000</v>
      </c>
      <c r="H403" s="118">
        <f t="shared" si="113"/>
        <v>0</v>
      </c>
      <c r="I403" s="159">
        <f t="shared" si="114"/>
        <v>0</v>
      </c>
      <c r="J403" s="118">
        <f t="shared" si="115"/>
        <v>10000</v>
      </c>
      <c r="K403" s="159">
        <f t="shared" si="116"/>
        <v>8.3333333333333329E-2</v>
      </c>
    </row>
    <row r="404" spans="1:11">
      <c r="A404" s="111" t="s">
        <v>51</v>
      </c>
      <c r="B404" s="108">
        <f>SUM(B405:B407)</f>
        <v>303602</v>
      </c>
      <c r="C404" s="108">
        <f t="shared" ref="C404:D404" si="127">SUM(C405:C407)</f>
        <v>0</v>
      </c>
      <c r="D404" s="108">
        <f t="shared" si="127"/>
        <v>-58262</v>
      </c>
      <c r="E404" s="108"/>
      <c r="F404" s="108">
        <f t="shared" si="118"/>
        <v>245340</v>
      </c>
      <c r="G404" s="108">
        <f t="shared" ref="G404" si="128">SUM(G405:G407)</f>
        <v>308344</v>
      </c>
      <c r="H404" s="108">
        <f t="shared" si="113"/>
        <v>4742</v>
      </c>
      <c r="I404" s="158">
        <f t="shared" si="114"/>
        <v>1.561913294378825E-2</v>
      </c>
      <c r="J404" s="108">
        <f t="shared" si="115"/>
        <v>63004</v>
      </c>
      <c r="K404" s="158">
        <f t="shared" si="116"/>
        <v>0.25680280427162305</v>
      </c>
    </row>
    <row r="405" spans="1:11">
      <c r="A405" s="82" t="s">
        <v>69</v>
      </c>
      <c r="B405" s="118">
        <v>237102</v>
      </c>
      <c r="C405" s="21"/>
      <c r="D405" s="118">
        <v>-58262</v>
      </c>
      <c r="E405" s="118"/>
      <c r="F405" s="118">
        <f t="shared" si="118"/>
        <v>178840</v>
      </c>
      <c r="G405" s="118">
        <v>241844</v>
      </c>
      <c r="H405" s="118">
        <f t="shared" si="113"/>
        <v>4742</v>
      </c>
      <c r="I405" s="159">
        <f t="shared" si="114"/>
        <v>1.9999831296235376E-2</v>
      </c>
      <c r="J405" s="118">
        <f t="shared" si="115"/>
        <v>63004</v>
      </c>
      <c r="K405" s="159">
        <f t="shared" si="116"/>
        <v>0.35229255200178933</v>
      </c>
    </row>
    <row r="406" spans="1:11">
      <c r="A406" s="82" t="s">
        <v>737</v>
      </c>
      <c r="B406" s="118">
        <v>66000</v>
      </c>
      <c r="C406" s="21"/>
      <c r="D406" s="118"/>
      <c r="E406" s="118"/>
      <c r="F406" s="118">
        <f t="shared" si="118"/>
        <v>66000</v>
      </c>
      <c r="G406" s="118">
        <v>66000</v>
      </c>
      <c r="H406" s="118">
        <f t="shared" si="113"/>
        <v>0</v>
      </c>
      <c r="I406" s="159">
        <f t="shared" si="114"/>
        <v>0</v>
      </c>
      <c r="J406" s="118">
        <f t="shared" si="115"/>
        <v>0</v>
      </c>
      <c r="K406" s="159">
        <f t="shared" si="116"/>
        <v>0</v>
      </c>
    </row>
    <row r="407" spans="1:11">
      <c r="A407" s="82" t="s">
        <v>70</v>
      </c>
      <c r="B407" s="118">
        <v>500</v>
      </c>
      <c r="C407" s="21"/>
      <c r="D407" s="118"/>
      <c r="E407" s="118"/>
      <c r="F407" s="118">
        <f t="shared" si="118"/>
        <v>500</v>
      </c>
      <c r="G407" s="118">
        <v>500</v>
      </c>
      <c r="H407" s="118">
        <f t="shared" si="113"/>
        <v>0</v>
      </c>
      <c r="I407" s="159">
        <f t="shared" si="114"/>
        <v>0</v>
      </c>
      <c r="J407" s="118">
        <f t="shared" si="115"/>
        <v>0</v>
      </c>
      <c r="K407" s="159">
        <f t="shared" si="116"/>
        <v>0</v>
      </c>
    </row>
    <row r="408" spans="1:11">
      <c r="A408" s="111" t="s">
        <v>57</v>
      </c>
      <c r="B408" s="108">
        <f>SUM(B409:B409)</f>
        <v>170000</v>
      </c>
      <c r="C408" s="108">
        <f t="shared" ref="C408:D408" si="129">SUM(C409:C409)</f>
        <v>0</v>
      </c>
      <c r="D408" s="108">
        <f t="shared" si="129"/>
        <v>12041</v>
      </c>
      <c r="E408" s="108">
        <f>SUM(E409:E409)</f>
        <v>10000</v>
      </c>
      <c r="F408" s="108">
        <f t="shared" si="118"/>
        <v>192041</v>
      </c>
      <c r="G408" s="108">
        <f t="shared" ref="G408" si="130">SUM(G409:G409)</f>
        <v>170000</v>
      </c>
      <c r="H408" s="108">
        <f t="shared" si="113"/>
        <v>0</v>
      </c>
      <c r="I408" s="158">
        <f t="shared" si="114"/>
        <v>0</v>
      </c>
      <c r="J408" s="108">
        <f t="shared" si="115"/>
        <v>-22041</v>
      </c>
      <c r="K408" s="158">
        <f t="shared" si="116"/>
        <v>-0.11477236631760926</v>
      </c>
    </row>
    <row r="409" spans="1:11">
      <c r="A409" s="82" t="s">
        <v>248</v>
      </c>
      <c r="B409" s="118">
        <v>170000</v>
      </c>
      <c r="C409" s="21"/>
      <c r="D409" s="118">
        <v>12041</v>
      </c>
      <c r="E409" s="118">
        <v>10000</v>
      </c>
      <c r="F409" s="118">
        <f t="shared" si="118"/>
        <v>192041</v>
      </c>
      <c r="G409" s="118">
        <v>170000</v>
      </c>
      <c r="H409" s="118">
        <f t="shared" si="113"/>
        <v>0</v>
      </c>
      <c r="I409" s="159">
        <f t="shared" si="114"/>
        <v>0</v>
      </c>
      <c r="J409" s="118">
        <f t="shared" si="115"/>
        <v>-22041</v>
      </c>
      <c r="K409" s="159">
        <f t="shared" si="116"/>
        <v>-0.11477236631760926</v>
      </c>
    </row>
    <row r="410" spans="1:11">
      <c r="A410" s="90" t="s">
        <v>52</v>
      </c>
      <c r="B410" s="81">
        <f t="shared" ref="B410" si="131">SUM(B411)</f>
        <v>2600</v>
      </c>
      <c r="C410" s="21"/>
      <c r="D410" s="81"/>
      <c r="E410" s="81"/>
      <c r="F410" s="81">
        <f t="shared" si="118"/>
        <v>2600</v>
      </c>
      <c r="G410" s="81">
        <f t="shared" ref="G410" si="132">SUM(G411)</f>
        <v>2900</v>
      </c>
      <c r="H410" s="81">
        <f t="shared" si="113"/>
        <v>300</v>
      </c>
      <c r="I410" s="92">
        <f t="shared" si="114"/>
        <v>0.11538461538461539</v>
      </c>
      <c r="J410" s="81">
        <f t="shared" si="115"/>
        <v>300</v>
      </c>
      <c r="K410" s="92">
        <f t="shared" si="116"/>
        <v>0.11538461538461539</v>
      </c>
    </row>
    <row r="411" spans="1:11" ht="26.4">
      <c r="A411" s="83" t="s">
        <v>71</v>
      </c>
      <c r="B411" s="112">
        <v>2600</v>
      </c>
      <c r="C411" s="21"/>
      <c r="D411" s="112"/>
      <c r="E411" s="112"/>
      <c r="F411" s="112">
        <f t="shared" si="118"/>
        <v>2600</v>
      </c>
      <c r="G411" s="112">
        <v>2900</v>
      </c>
      <c r="H411" s="112">
        <f t="shared" si="113"/>
        <v>300</v>
      </c>
      <c r="I411" s="186">
        <f t="shared" si="114"/>
        <v>0.11538461538461539</v>
      </c>
      <c r="J411" s="112">
        <f t="shared" si="115"/>
        <v>300</v>
      </c>
      <c r="K411" s="186">
        <f t="shared" si="116"/>
        <v>0.11538461538461539</v>
      </c>
    </row>
    <row r="412" spans="1:11">
      <c r="A412" s="82"/>
      <c r="B412" s="118"/>
      <c r="C412" s="21"/>
      <c r="D412" s="118"/>
      <c r="E412" s="118"/>
      <c r="F412" s="118">
        <f t="shared" si="118"/>
        <v>0</v>
      </c>
      <c r="G412" s="118"/>
      <c r="H412" s="118">
        <f t="shared" si="113"/>
        <v>0</v>
      </c>
      <c r="I412" s="159"/>
      <c r="J412" s="118">
        <f t="shared" si="115"/>
        <v>0</v>
      </c>
      <c r="K412" s="159" t="str">
        <f t="shared" si="116"/>
        <v/>
      </c>
    </row>
    <row r="413" spans="1:11">
      <c r="A413" s="111" t="s">
        <v>641</v>
      </c>
      <c r="B413" s="108">
        <f>SUM(B414+B419+B422+B424)</f>
        <v>1730400</v>
      </c>
      <c r="C413" s="108">
        <f t="shared" ref="C413:D413" si="133">SUM(C414+C419+C422+C424)</f>
        <v>0</v>
      </c>
      <c r="D413" s="108">
        <f t="shared" si="133"/>
        <v>-156000</v>
      </c>
      <c r="E413" s="108">
        <f>SUM(E414+E419+E422+E424)</f>
        <v>21400</v>
      </c>
      <c r="F413" s="108">
        <f t="shared" si="118"/>
        <v>1595800</v>
      </c>
      <c r="G413" s="108">
        <f t="shared" ref="G413" si="134">SUM(G414+G419+G422+G424)</f>
        <v>2189000</v>
      </c>
      <c r="H413" s="108">
        <f t="shared" si="113"/>
        <v>458600</v>
      </c>
      <c r="I413" s="158">
        <f t="shared" si="114"/>
        <v>0.26502542764678688</v>
      </c>
      <c r="J413" s="108">
        <f t="shared" si="115"/>
        <v>593200</v>
      </c>
      <c r="K413" s="158">
        <f t="shared" si="116"/>
        <v>0.37172578017295399</v>
      </c>
    </row>
    <row r="414" spans="1:11">
      <c r="A414" s="111" t="s">
        <v>55</v>
      </c>
      <c r="B414" s="108">
        <f>SUM(B418+B417+B416+B415)</f>
        <v>1503500</v>
      </c>
      <c r="C414" s="108">
        <f t="shared" ref="C414:D414" si="135">SUM(C418+C417+C416+C415)</f>
        <v>0</v>
      </c>
      <c r="D414" s="108">
        <f t="shared" si="135"/>
        <v>-161000</v>
      </c>
      <c r="E414" s="108">
        <f>SUM(E418+E417+E416+E415)</f>
        <v>13900</v>
      </c>
      <c r="F414" s="108">
        <f t="shared" si="118"/>
        <v>1356400</v>
      </c>
      <c r="G414" s="108">
        <f t="shared" ref="G414" si="136">SUM(G418+G417+G416+G415)</f>
        <v>1939000</v>
      </c>
      <c r="H414" s="108">
        <f t="shared" si="113"/>
        <v>435500</v>
      </c>
      <c r="I414" s="158">
        <f t="shared" si="114"/>
        <v>0.28965746591286995</v>
      </c>
      <c r="J414" s="108">
        <f t="shared" si="115"/>
        <v>582600</v>
      </c>
      <c r="K414" s="158">
        <f t="shared" si="116"/>
        <v>0.42951931583603659</v>
      </c>
    </row>
    <row r="415" spans="1:11">
      <c r="A415" s="82" t="s">
        <v>77</v>
      </c>
      <c r="B415" s="118">
        <v>1350500</v>
      </c>
      <c r="C415" s="21"/>
      <c r="D415" s="118">
        <v>-160000</v>
      </c>
      <c r="E415" s="118">
        <v>6000</v>
      </c>
      <c r="F415" s="118">
        <f t="shared" si="118"/>
        <v>1196500</v>
      </c>
      <c r="G415" s="118">
        <f>1759000+189143-189143</f>
        <v>1759000</v>
      </c>
      <c r="H415" s="118">
        <f t="shared" si="113"/>
        <v>408500</v>
      </c>
      <c r="I415" s="159">
        <f t="shared" si="114"/>
        <v>0.30248056275453533</v>
      </c>
      <c r="J415" s="118">
        <f t="shared" si="115"/>
        <v>562500</v>
      </c>
      <c r="K415" s="159">
        <f t="shared" si="116"/>
        <v>0.47012118679481824</v>
      </c>
    </row>
    <row r="416" spans="1:11">
      <c r="A416" s="83" t="s">
        <v>72</v>
      </c>
      <c r="B416" s="112">
        <v>114000</v>
      </c>
      <c r="C416" s="21"/>
      <c r="D416" s="112">
        <v>-1000</v>
      </c>
      <c r="E416" s="112">
        <v>17900</v>
      </c>
      <c r="F416" s="112">
        <f t="shared" si="118"/>
        <v>130900</v>
      </c>
      <c r="G416" s="112">
        <v>136000</v>
      </c>
      <c r="H416" s="112">
        <f t="shared" si="113"/>
        <v>22000</v>
      </c>
      <c r="I416" s="186">
        <f t="shared" si="114"/>
        <v>0.19298245614035087</v>
      </c>
      <c r="J416" s="112">
        <f t="shared" si="115"/>
        <v>5100</v>
      </c>
      <c r="K416" s="186">
        <f t="shared" si="116"/>
        <v>3.896103896103896E-2</v>
      </c>
    </row>
    <row r="417" spans="1:11">
      <c r="A417" s="83" t="s">
        <v>82</v>
      </c>
      <c r="B417" s="112">
        <v>15000</v>
      </c>
      <c r="C417" s="21"/>
      <c r="D417" s="112"/>
      <c r="E417" s="112">
        <v>-1000</v>
      </c>
      <c r="F417" s="112">
        <f t="shared" si="118"/>
        <v>14000</v>
      </c>
      <c r="G417" s="112">
        <v>20000</v>
      </c>
      <c r="H417" s="112">
        <f t="shared" si="113"/>
        <v>5000</v>
      </c>
      <c r="I417" s="186">
        <f t="shared" si="114"/>
        <v>0.33333333333333331</v>
      </c>
      <c r="J417" s="112">
        <f t="shared" si="115"/>
        <v>6000</v>
      </c>
      <c r="K417" s="186">
        <f t="shared" si="116"/>
        <v>0.42857142857142855</v>
      </c>
    </row>
    <row r="418" spans="1:11">
      <c r="A418" s="83" t="s">
        <v>205</v>
      </c>
      <c r="B418" s="112">
        <v>24000</v>
      </c>
      <c r="C418" s="21"/>
      <c r="D418" s="112"/>
      <c r="E418" s="112">
        <v>-9000</v>
      </c>
      <c r="F418" s="112">
        <f t="shared" si="118"/>
        <v>15000</v>
      </c>
      <c r="G418" s="112">
        <v>24000</v>
      </c>
      <c r="H418" s="112">
        <f t="shared" si="113"/>
        <v>0</v>
      </c>
      <c r="I418" s="186">
        <f t="shared" si="114"/>
        <v>0</v>
      </c>
      <c r="J418" s="112">
        <f t="shared" si="115"/>
        <v>9000</v>
      </c>
      <c r="K418" s="186">
        <f t="shared" si="116"/>
        <v>0.6</v>
      </c>
    </row>
    <row r="419" spans="1:11">
      <c r="A419" s="111" t="s">
        <v>51</v>
      </c>
      <c r="B419" s="108">
        <f t="shared" ref="B419" si="137">SUM(B420:B421)</f>
        <v>126500</v>
      </c>
      <c r="C419" s="108">
        <f t="shared" ref="C419:E419" si="138">SUM(C420:C421)</f>
        <v>0</v>
      </c>
      <c r="D419" s="108">
        <f t="shared" si="138"/>
        <v>10000</v>
      </c>
      <c r="E419" s="108">
        <f t="shared" si="138"/>
        <v>21400</v>
      </c>
      <c r="F419" s="108">
        <f t="shared" si="118"/>
        <v>157900</v>
      </c>
      <c r="G419" s="108">
        <f t="shared" ref="G419" si="139">SUM(G420:G421)</f>
        <v>150000</v>
      </c>
      <c r="H419" s="108">
        <f t="shared" si="113"/>
        <v>23500</v>
      </c>
      <c r="I419" s="158">
        <f t="shared" si="114"/>
        <v>0.1857707509881423</v>
      </c>
      <c r="J419" s="108">
        <f t="shared" si="115"/>
        <v>-7900</v>
      </c>
      <c r="K419" s="158">
        <f t="shared" si="116"/>
        <v>-5.0031665611146296E-2</v>
      </c>
    </row>
    <row r="420" spans="1:11">
      <c r="A420" s="82" t="s">
        <v>70</v>
      </c>
      <c r="B420" s="118">
        <v>10000</v>
      </c>
      <c r="C420" s="21"/>
      <c r="D420" s="118">
        <v>10000</v>
      </c>
      <c r="E420" s="118">
        <v>21400</v>
      </c>
      <c r="F420" s="118">
        <f t="shared" si="118"/>
        <v>41400</v>
      </c>
      <c r="G420" s="118">
        <v>20000</v>
      </c>
      <c r="H420" s="118">
        <f t="shared" si="113"/>
        <v>10000</v>
      </c>
      <c r="I420" s="159">
        <f t="shared" si="114"/>
        <v>1</v>
      </c>
      <c r="J420" s="118">
        <f t="shared" si="115"/>
        <v>-21400</v>
      </c>
      <c r="K420" s="159">
        <f t="shared" si="116"/>
        <v>-0.51690821256038644</v>
      </c>
    </row>
    <row r="421" spans="1:11">
      <c r="A421" s="82" t="s">
        <v>206</v>
      </c>
      <c r="B421" s="118">
        <v>116500</v>
      </c>
      <c r="C421" s="21"/>
      <c r="D421" s="118"/>
      <c r="E421" s="118"/>
      <c r="F421" s="118">
        <f t="shared" si="118"/>
        <v>116500</v>
      </c>
      <c r="G421" s="118">
        <v>130000</v>
      </c>
      <c r="H421" s="118">
        <f t="shared" si="113"/>
        <v>13500</v>
      </c>
      <c r="I421" s="159">
        <f t="shared" si="114"/>
        <v>0.11587982832618025</v>
      </c>
      <c r="J421" s="118">
        <f t="shared" si="115"/>
        <v>13500</v>
      </c>
      <c r="K421" s="159">
        <f t="shared" si="116"/>
        <v>0.11587982832618025</v>
      </c>
    </row>
    <row r="422" spans="1:11">
      <c r="A422" s="119" t="s">
        <v>58</v>
      </c>
      <c r="B422" s="120">
        <f>SUM(B423)</f>
        <v>65000</v>
      </c>
      <c r="C422" s="21"/>
      <c r="D422" s="120"/>
      <c r="E422" s="120">
        <f>SUM(E423)</f>
        <v>-2000</v>
      </c>
      <c r="F422" s="120">
        <f t="shared" si="118"/>
        <v>63000</v>
      </c>
      <c r="G422" s="120">
        <f t="shared" ref="G422" si="140">SUM(G423)</f>
        <v>70000</v>
      </c>
      <c r="H422" s="120">
        <f t="shared" si="113"/>
        <v>5000</v>
      </c>
      <c r="I422" s="187">
        <f t="shared" si="114"/>
        <v>7.6923076923076927E-2</v>
      </c>
      <c r="J422" s="120">
        <f t="shared" si="115"/>
        <v>7000</v>
      </c>
      <c r="K422" s="187">
        <f t="shared" si="116"/>
        <v>0.1111111111111111</v>
      </c>
    </row>
    <row r="423" spans="1:11">
      <c r="A423" s="82" t="s">
        <v>83</v>
      </c>
      <c r="B423" s="118">
        <v>65000</v>
      </c>
      <c r="C423" s="21"/>
      <c r="D423" s="118"/>
      <c r="E423" s="118">
        <v>-2000</v>
      </c>
      <c r="F423" s="118">
        <f t="shared" si="118"/>
        <v>63000</v>
      </c>
      <c r="G423" s="118">
        <v>70000</v>
      </c>
      <c r="H423" s="118">
        <f t="shared" si="113"/>
        <v>5000</v>
      </c>
      <c r="I423" s="159">
        <f t="shared" si="114"/>
        <v>7.6923076923076927E-2</v>
      </c>
      <c r="J423" s="118">
        <f t="shared" si="115"/>
        <v>7000</v>
      </c>
      <c r="K423" s="159">
        <f t="shared" si="116"/>
        <v>0.1111111111111111</v>
      </c>
    </row>
    <row r="424" spans="1:11">
      <c r="A424" s="111" t="s">
        <v>52</v>
      </c>
      <c r="B424" s="108">
        <f>SUM(B425:B426)</f>
        <v>35400</v>
      </c>
      <c r="C424" s="108">
        <f t="shared" ref="C424:D424" si="141">SUM(C425:C426)</f>
        <v>0</v>
      </c>
      <c r="D424" s="108">
        <f t="shared" si="141"/>
        <v>-5000</v>
      </c>
      <c r="E424" s="108">
        <f>SUM(E425:E426)</f>
        <v>-11900</v>
      </c>
      <c r="F424" s="108">
        <f t="shared" si="118"/>
        <v>18500</v>
      </c>
      <c r="G424" s="108">
        <f t="shared" ref="G424" si="142">SUM(G425:G426)</f>
        <v>30000</v>
      </c>
      <c r="H424" s="108">
        <f t="shared" si="113"/>
        <v>-5400</v>
      </c>
      <c r="I424" s="158">
        <f t="shared" si="114"/>
        <v>-0.15254237288135594</v>
      </c>
      <c r="J424" s="108">
        <f t="shared" si="115"/>
        <v>11500</v>
      </c>
      <c r="K424" s="158">
        <f t="shared" si="116"/>
        <v>0.6216216216216216</v>
      </c>
    </row>
    <row r="425" spans="1:11">
      <c r="A425" s="83" t="s">
        <v>84</v>
      </c>
      <c r="B425" s="112">
        <v>5000</v>
      </c>
      <c r="C425" s="21"/>
      <c r="D425" s="112"/>
      <c r="E425" s="112">
        <v>-2500</v>
      </c>
      <c r="F425" s="112">
        <f t="shared" si="118"/>
        <v>2500</v>
      </c>
      <c r="G425" s="112">
        <v>5000</v>
      </c>
      <c r="H425" s="112">
        <f t="shared" si="113"/>
        <v>0</v>
      </c>
      <c r="I425" s="186">
        <f t="shared" si="114"/>
        <v>0</v>
      </c>
      <c r="J425" s="112">
        <f t="shared" si="115"/>
        <v>2500</v>
      </c>
      <c r="K425" s="186">
        <f t="shared" si="116"/>
        <v>1</v>
      </c>
    </row>
    <row r="426" spans="1:11" ht="26.4">
      <c r="A426" s="83" t="s">
        <v>71</v>
      </c>
      <c r="B426" s="112">
        <v>30400</v>
      </c>
      <c r="C426" s="21"/>
      <c r="D426" s="112">
        <v>-5000</v>
      </c>
      <c r="E426" s="112">
        <v>-9400</v>
      </c>
      <c r="F426" s="112">
        <f t="shared" si="118"/>
        <v>16000</v>
      </c>
      <c r="G426" s="112">
        <v>25000</v>
      </c>
      <c r="H426" s="112">
        <f t="shared" si="113"/>
        <v>-5400</v>
      </c>
      <c r="I426" s="186">
        <f t="shared" si="114"/>
        <v>-0.17763157894736842</v>
      </c>
      <c r="J426" s="112">
        <f t="shared" si="115"/>
        <v>9000</v>
      </c>
      <c r="K426" s="186">
        <f t="shared" si="116"/>
        <v>0.5625</v>
      </c>
    </row>
    <row r="427" spans="1:11">
      <c r="A427" s="113"/>
      <c r="B427" s="114"/>
      <c r="C427" s="21"/>
      <c r="D427" s="114"/>
      <c r="E427" s="114"/>
      <c r="F427" s="114">
        <f t="shared" si="118"/>
        <v>0</v>
      </c>
      <c r="G427" s="492"/>
      <c r="H427" s="114">
        <f t="shared" si="113"/>
        <v>0</v>
      </c>
      <c r="I427" s="190"/>
      <c r="J427" s="114">
        <f t="shared" si="115"/>
        <v>0</v>
      </c>
      <c r="K427" s="190" t="str">
        <f t="shared" si="116"/>
        <v/>
      </c>
    </row>
    <row r="428" spans="1:11">
      <c r="A428" s="111" t="s">
        <v>642</v>
      </c>
      <c r="B428" s="108">
        <f>B429+B433</f>
        <v>261500</v>
      </c>
      <c r="C428" s="21"/>
      <c r="D428" s="108"/>
      <c r="E428" s="108">
        <f>E429+E433</f>
        <v>64900</v>
      </c>
      <c r="F428" s="108">
        <f t="shared" si="118"/>
        <v>326400</v>
      </c>
      <c r="G428" s="108">
        <f>G429+G433</f>
        <v>248500</v>
      </c>
      <c r="H428" s="108">
        <f t="shared" si="113"/>
        <v>-13000</v>
      </c>
      <c r="I428" s="158">
        <f t="shared" si="114"/>
        <v>-4.9713193116634802E-2</v>
      </c>
      <c r="J428" s="108">
        <f t="shared" si="115"/>
        <v>-77900</v>
      </c>
      <c r="K428" s="158">
        <f t="shared" si="116"/>
        <v>-0.23866421568627452</v>
      </c>
    </row>
    <row r="429" spans="1:11">
      <c r="A429" s="111" t="s">
        <v>55</v>
      </c>
      <c r="B429" s="108">
        <f>B430+B431+B432</f>
        <v>227500</v>
      </c>
      <c r="C429" s="21"/>
      <c r="D429" s="108"/>
      <c r="E429" s="108">
        <f>E430+E431+E432</f>
        <v>78000</v>
      </c>
      <c r="F429" s="108">
        <f t="shared" si="118"/>
        <v>305500</v>
      </c>
      <c r="G429" s="108">
        <f>G430+G431+G432</f>
        <v>235500</v>
      </c>
      <c r="H429" s="108">
        <f t="shared" si="113"/>
        <v>8000</v>
      </c>
      <c r="I429" s="158">
        <f t="shared" si="114"/>
        <v>3.5164835164835165E-2</v>
      </c>
      <c r="J429" s="108">
        <f t="shared" si="115"/>
        <v>-70000</v>
      </c>
      <c r="K429" s="158">
        <f t="shared" si="116"/>
        <v>-0.22913256955810146</v>
      </c>
    </row>
    <row r="430" spans="1:11">
      <c r="A430" s="82" t="s">
        <v>77</v>
      </c>
      <c r="B430" s="118">
        <v>151000</v>
      </c>
      <c r="C430" s="21"/>
      <c r="D430" s="118"/>
      <c r="E430" s="118">
        <v>13000</v>
      </c>
      <c r="F430" s="118">
        <f t="shared" si="118"/>
        <v>164000</v>
      </c>
      <c r="G430" s="118">
        <v>151000</v>
      </c>
      <c r="H430" s="118">
        <f t="shared" si="113"/>
        <v>0</v>
      </c>
      <c r="I430" s="159">
        <f t="shared" si="114"/>
        <v>0</v>
      </c>
      <c r="J430" s="118">
        <f t="shared" si="115"/>
        <v>-13000</v>
      </c>
      <c r="K430" s="159">
        <f t="shared" si="116"/>
        <v>-7.926829268292683E-2</v>
      </c>
    </row>
    <row r="431" spans="1:11">
      <c r="A431" s="82" t="s">
        <v>254</v>
      </c>
      <c r="B431" s="118">
        <v>67000</v>
      </c>
      <c r="C431" s="21"/>
      <c r="D431" s="118"/>
      <c r="E431" s="118">
        <f>53000+12000</f>
        <v>65000</v>
      </c>
      <c r="F431" s="118">
        <f t="shared" si="118"/>
        <v>132000</v>
      </c>
      <c r="G431" s="118">
        <v>75000</v>
      </c>
      <c r="H431" s="118">
        <f t="shared" si="113"/>
        <v>8000</v>
      </c>
      <c r="I431" s="159">
        <f t="shared" si="114"/>
        <v>0.11940298507462686</v>
      </c>
      <c r="J431" s="118">
        <f t="shared" si="115"/>
        <v>-57000</v>
      </c>
      <c r="K431" s="159">
        <f t="shared" si="116"/>
        <v>-0.43181818181818182</v>
      </c>
    </row>
    <row r="432" spans="1:11">
      <c r="A432" s="82" t="s">
        <v>255</v>
      </c>
      <c r="B432" s="118">
        <v>9500</v>
      </c>
      <c r="C432" s="21"/>
      <c r="D432" s="118"/>
      <c r="E432" s="118"/>
      <c r="F432" s="118">
        <f t="shared" si="118"/>
        <v>9500</v>
      </c>
      <c r="G432" s="118">
        <v>9500</v>
      </c>
      <c r="H432" s="118">
        <f t="shared" si="113"/>
        <v>0</v>
      </c>
      <c r="I432" s="159">
        <f t="shared" si="114"/>
        <v>0</v>
      </c>
      <c r="J432" s="118">
        <f t="shared" si="115"/>
        <v>0</v>
      </c>
      <c r="K432" s="159">
        <f t="shared" si="116"/>
        <v>0</v>
      </c>
    </row>
    <row r="433" spans="1:11">
      <c r="A433" s="111" t="s">
        <v>51</v>
      </c>
      <c r="B433" s="108">
        <f t="shared" ref="B433" si="143">B434+B435</f>
        <v>34000</v>
      </c>
      <c r="C433" s="21"/>
      <c r="D433" s="108"/>
      <c r="E433" s="108">
        <f t="shared" ref="E433" si="144">E434+E435</f>
        <v>-13100</v>
      </c>
      <c r="F433" s="108">
        <f t="shared" si="118"/>
        <v>20900</v>
      </c>
      <c r="G433" s="108">
        <f t="shared" ref="G433" si="145">G434+G435</f>
        <v>13000</v>
      </c>
      <c r="H433" s="108">
        <f t="shared" si="113"/>
        <v>-21000</v>
      </c>
      <c r="I433" s="158">
        <f t="shared" si="114"/>
        <v>-0.61764705882352944</v>
      </c>
      <c r="J433" s="108">
        <f t="shared" si="115"/>
        <v>-7900</v>
      </c>
      <c r="K433" s="158">
        <f t="shared" si="116"/>
        <v>-0.37799043062200954</v>
      </c>
    </row>
    <row r="434" spans="1:11">
      <c r="A434" s="82" t="s">
        <v>69</v>
      </c>
      <c r="B434" s="118">
        <v>27000</v>
      </c>
      <c r="C434" s="21"/>
      <c r="D434" s="118"/>
      <c r="E434" s="118">
        <v>-19100</v>
      </c>
      <c r="F434" s="118">
        <f t="shared" si="118"/>
        <v>7900</v>
      </c>
      <c r="G434" s="118">
        <v>6000</v>
      </c>
      <c r="H434" s="118">
        <f t="shared" si="113"/>
        <v>-21000</v>
      </c>
      <c r="I434" s="159">
        <f t="shared" si="114"/>
        <v>-0.77777777777777779</v>
      </c>
      <c r="J434" s="118">
        <f t="shared" si="115"/>
        <v>-1900</v>
      </c>
      <c r="K434" s="159">
        <f t="shared" si="116"/>
        <v>-0.24050632911392406</v>
      </c>
    </row>
    <row r="435" spans="1:11">
      <c r="A435" s="82" t="s">
        <v>70</v>
      </c>
      <c r="B435" s="118">
        <v>7000</v>
      </c>
      <c r="C435" s="21"/>
      <c r="D435" s="118"/>
      <c r="E435" s="118">
        <v>6000</v>
      </c>
      <c r="F435" s="118">
        <f t="shared" si="118"/>
        <v>13000</v>
      </c>
      <c r="G435" s="118">
        <v>7000</v>
      </c>
      <c r="H435" s="118">
        <f t="shared" si="113"/>
        <v>0</v>
      </c>
      <c r="I435" s="159">
        <f t="shared" si="114"/>
        <v>0</v>
      </c>
      <c r="J435" s="118">
        <f t="shared" si="115"/>
        <v>-6000</v>
      </c>
      <c r="K435" s="159">
        <f t="shared" si="116"/>
        <v>-0.46153846153846156</v>
      </c>
    </row>
    <row r="436" spans="1:11">
      <c r="A436" s="111"/>
      <c r="B436" s="108"/>
      <c r="C436" s="21"/>
      <c r="D436" s="108"/>
      <c r="E436" s="108"/>
      <c r="F436" s="108">
        <f t="shared" si="118"/>
        <v>0</v>
      </c>
      <c r="G436" s="108"/>
      <c r="H436" s="108">
        <f t="shared" si="113"/>
        <v>0</v>
      </c>
      <c r="I436" s="158"/>
      <c r="J436" s="108">
        <f t="shared" si="115"/>
        <v>0</v>
      </c>
      <c r="K436" s="158" t="str">
        <f t="shared" si="116"/>
        <v/>
      </c>
    </row>
    <row r="437" spans="1:11">
      <c r="A437" s="111" t="s">
        <v>643</v>
      </c>
      <c r="B437" s="108">
        <f>B438+B444</f>
        <v>1024218</v>
      </c>
      <c r="C437" s="21"/>
      <c r="D437" s="108">
        <f t="shared" ref="D437:E437" si="146">D438+D444</f>
        <v>180735</v>
      </c>
      <c r="E437" s="108">
        <f t="shared" si="146"/>
        <v>75550</v>
      </c>
      <c r="F437" s="108">
        <f t="shared" si="118"/>
        <v>1280503</v>
      </c>
      <c r="G437" s="108">
        <f>G438+G444</f>
        <v>1046142</v>
      </c>
      <c r="H437" s="108">
        <f t="shared" si="113"/>
        <v>21924</v>
      </c>
      <c r="I437" s="158">
        <f t="shared" si="114"/>
        <v>2.140559919860811E-2</v>
      </c>
      <c r="J437" s="108">
        <f t="shared" si="115"/>
        <v>-234361</v>
      </c>
      <c r="K437" s="158">
        <f t="shared" si="116"/>
        <v>-0.18302260908408649</v>
      </c>
    </row>
    <row r="438" spans="1:11">
      <c r="A438" s="111" t="s">
        <v>52</v>
      </c>
      <c r="B438" s="108">
        <f>SUM(B439:B443)</f>
        <v>997152</v>
      </c>
      <c r="C438" s="21"/>
      <c r="D438" s="108">
        <f>SUM(D439:D443)</f>
        <v>168980</v>
      </c>
      <c r="E438" s="108">
        <f>SUM(E439:E443)</f>
        <v>75550</v>
      </c>
      <c r="F438" s="108">
        <f t="shared" si="118"/>
        <v>1241682</v>
      </c>
      <c r="G438" s="108">
        <f>SUM(G439:G443)</f>
        <v>1002400</v>
      </c>
      <c r="H438" s="108">
        <f t="shared" si="113"/>
        <v>5248</v>
      </c>
      <c r="I438" s="158">
        <f t="shared" si="114"/>
        <v>5.2629889926510704E-3</v>
      </c>
      <c r="J438" s="108">
        <f t="shared" si="115"/>
        <v>-239282</v>
      </c>
      <c r="K438" s="158">
        <f t="shared" si="116"/>
        <v>-0.19270795582121669</v>
      </c>
    </row>
    <row r="439" spans="1:11">
      <c r="A439" s="82" t="s">
        <v>249</v>
      </c>
      <c r="B439" s="118">
        <v>164020</v>
      </c>
      <c r="C439" s="21"/>
      <c r="D439" s="118">
        <v>70980</v>
      </c>
      <c r="E439" s="118">
        <v>44000</v>
      </c>
      <c r="F439" s="118">
        <f t="shared" si="118"/>
        <v>279000</v>
      </c>
      <c r="G439" s="118">
        <v>137000</v>
      </c>
      <c r="H439" s="118">
        <f t="shared" si="113"/>
        <v>-27020</v>
      </c>
      <c r="I439" s="159">
        <f t="shared" si="114"/>
        <v>-0.16473600780392636</v>
      </c>
      <c r="J439" s="118">
        <f t="shared" si="115"/>
        <v>-142000</v>
      </c>
      <c r="K439" s="159">
        <f t="shared" si="116"/>
        <v>-0.50896057347670254</v>
      </c>
    </row>
    <row r="440" spans="1:11">
      <c r="A440" s="82" t="s">
        <v>753</v>
      </c>
      <c r="B440" s="118"/>
      <c r="C440" s="21"/>
      <c r="D440" s="118">
        <v>18000</v>
      </c>
      <c r="E440" s="118">
        <v>-11000</v>
      </c>
      <c r="F440" s="118">
        <f t="shared" si="118"/>
        <v>7000</v>
      </c>
      <c r="G440" s="118">
        <v>18400</v>
      </c>
      <c r="H440" s="118">
        <f t="shared" si="113"/>
        <v>18400</v>
      </c>
      <c r="I440" s="159"/>
      <c r="J440" s="118">
        <f t="shared" si="115"/>
        <v>11400</v>
      </c>
      <c r="K440" s="159">
        <f t="shared" si="116"/>
        <v>1.6285714285714286</v>
      </c>
    </row>
    <row r="441" spans="1:11">
      <c r="A441" s="82" t="s">
        <v>251</v>
      </c>
      <c r="B441" s="118">
        <f>857000-45068</f>
        <v>811932</v>
      </c>
      <c r="C441" s="21"/>
      <c r="D441" s="118">
        <v>40000</v>
      </c>
      <c r="E441" s="118">
        <v>60000</v>
      </c>
      <c r="F441" s="118">
        <f t="shared" si="118"/>
        <v>911932</v>
      </c>
      <c r="G441" s="118">
        <v>815000</v>
      </c>
      <c r="H441" s="118">
        <f t="shared" si="113"/>
        <v>3068</v>
      </c>
      <c r="I441" s="159">
        <f t="shared" si="114"/>
        <v>3.7786415611159555E-3</v>
      </c>
      <c r="J441" s="118">
        <f t="shared" si="115"/>
        <v>-96932</v>
      </c>
      <c r="K441" s="159">
        <f t="shared" si="116"/>
        <v>-0.10629301307553633</v>
      </c>
    </row>
    <row r="442" spans="1:11">
      <c r="A442" s="82" t="s">
        <v>252</v>
      </c>
      <c r="B442" s="118">
        <v>20000</v>
      </c>
      <c r="C442" s="21"/>
      <c r="D442" s="118">
        <v>40520</v>
      </c>
      <c r="E442" s="118">
        <v>-17450</v>
      </c>
      <c r="F442" s="118">
        <f t="shared" si="118"/>
        <v>43070</v>
      </c>
      <c r="G442" s="118">
        <v>32000</v>
      </c>
      <c r="H442" s="118">
        <f t="shared" si="113"/>
        <v>12000</v>
      </c>
      <c r="I442" s="159">
        <f t="shared" si="114"/>
        <v>0.6</v>
      </c>
      <c r="J442" s="118">
        <f t="shared" si="115"/>
        <v>-11070</v>
      </c>
      <c r="K442" s="159">
        <f t="shared" si="116"/>
        <v>-0.25702345019735312</v>
      </c>
    </row>
    <row r="443" spans="1:11">
      <c r="A443" s="82" t="s">
        <v>253</v>
      </c>
      <c r="B443" s="118">
        <v>1200</v>
      </c>
      <c r="C443" s="21"/>
      <c r="D443" s="118">
        <v>-520</v>
      </c>
      <c r="E443" s="118"/>
      <c r="F443" s="118">
        <f t="shared" si="118"/>
        <v>680</v>
      </c>
      <c r="G443" s="118"/>
      <c r="H443" s="118">
        <f t="shared" si="113"/>
        <v>-1200</v>
      </c>
      <c r="I443" s="159">
        <f t="shared" si="114"/>
        <v>-1</v>
      </c>
      <c r="J443" s="118">
        <f t="shared" si="115"/>
        <v>-680</v>
      </c>
      <c r="K443" s="159" t="str">
        <f t="shared" si="116"/>
        <v/>
      </c>
    </row>
    <row r="444" spans="1:11">
      <c r="A444" s="111" t="s">
        <v>51</v>
      </c>
      <c r="B444" s="108">
        <f>SUM(B445:B446)</f>
        <v>27066</v>
      </c>
      <c r="C444" s="21"/>
      <c r="D444" s="108">
        <f>SUM(D445:D446)</f>
        <v>11755</v>
      </c>
      <c r="E444" s="108"/>
      <c r="F444" s="108">
        <f t="shared" si="118"/>
        <v>38821</v>
      </c>
      <c r="G444" s="108">
        <f t="shared" ref="G444" si="147">SUM(G445:G446)</f>
        <v>43742</v>
      </c>
      <c r="H444" s="108">
        <f t="shared" si="113"/>
        <v>16676</v>
      </c>
      <c r="I444" s="158">
        <f t="shared" si="114"/>
        <v>0.61612354984112905</v>
      </c>
      <c r="J444" s="108">
        <f t="shared" si="115"/>
        <v>4921</v>
      </c>
      <c r="K444" s="158">
        <f t="shared" si="116"/>
        <v>0.12676128899307076</v>
      </c>
    </row>
    <row r="445" spans="1:11">
      <c r="A445" s="82" t="s">
        <v>69</v>
      </c>
      <c r="B445" s="118">
        <v>25066</v>
      </c>
      <c r="C445" s="21"/>
      <c r="D445" s="118">
        <f>12916-6861</f>
        <v>6055</v>
      </c>
      <c r="E445" s="118"/>
      <c r="F445" s="118">
        <f t="shared" si="118"/>
        <v>31121</v>
      </c>
      <c r="G445" s="118">
        <v>38742</v>
      </c>
      <c r="H445" s="118">
        <f t="shared" si="113"/>
        <v>13676</v>
      </c>
      <c r="I445" s="159">
        <f t="shared" si="114"/>
        <v>0.54559961701109072</v>
      </c>
      <c r="J445" s="118">
        <f t="shared" si="115"/>
        <v>7621</v>
      </c>
      <c r="K445" s="159">
        <f t="shared" si="116"/>
        <v>0.24488287651425084</v>
      </c>
    </row>
    <row r="446" spans="1:11">
      <c r="A446" s="82" t="s">
        <v>70</v>
      </c>
      <c r="B446" s="118">
        <v>2000</v>
      </c>
      <c r="C446" s="21"/>
      <c r="D446" s="118">
        <v>5700</v>
      </c>
      <c r="E446" s="118"/>
      <c r="F446" s="118">
        <f t="shared" si="118"/>
        <v>7700</v>
      </c>
      <c r="G446" s="118">
        <v>5000</v>
      </c>
      <c r="H446" s="118">
        <f t="shared" si="113"/>
        <v>3000</v>
      </c>
      <c r="I446" s="159">
        <f t="shared" si="114"/>
        <v>1.5</v>
      </c>
      <c r="J446" s="118">
        <f t="shared" si="115"/>
        <v>-2700</v>
      </c>
      <c r="K446" s="159">
        <f t="shared" si="116"/>
        <v>-0.35064935064935066</v>
      </c>
    </row>
    <row r="447" spans="1:11">
      <c r="A447" s="82"/>
      <c r="B447" s="118"/>
      <c r="C447" s="21"/>
      <c r="D447" s="118"/>
      <c r="E447" s="118"/>
      <c r="F447" s="118">
        <f t="shared" si="118"/>
        <v>0</v>
      </c>
      <c r="G447" s="254"/>
      <c r="H447" s="118">
        <f t="shared" si="113"/>
        <v>0</v>
      </c>
      <c r="I447" s="159"/>
      <c r="J447" s="118">
        <f t="shared" si="115"/>
        <v>0</v>
      </c>
      <c r="K447" s="159" t="str">
        <f t="shared" si="116"/>
        <v/>
      </c>
    </row>
    <row r="448" spans="1:11">
      <c r="A448" s="106" t="s">
        <v>644</v>
      </c>
      <c r="B448" s="107">
        <v>9600</v>
      </c>
      <c r="C448" s="21"/>
      <c r="D448" s="107"/>
      <c r="E448" s="107"/>
      <c r="F448" s="107">
        <f t="shared" si="118"/>
        <v>9600</v>
      </c>
      <c r="G448" s="107">
        <f>G449+G451</f>
        <v>12100</v>
      </c>
      <c r="H448" s="107">
        <f t="shared" ref="H448:H511" si="148">G448-B448</f>
        <v>2500</v>
      </c>
      <c r="I448" s="156">
        <f t="shared" ref="I448:I511" si="149">H448/B448</f>
        <v>0.26041666666666669</v>
      </c>
      <c r="J448" s="107">
        <f t="shared" ref="J448:J511" si="150">G448-F448</f>
        <v>2500</v>
      </c>
      <c r="K448" s="156">
        <f t="shared" ref="K448:K511" si="151">IF(G448=0,"",J448/F448)</f>
        <v>0.26041666666666669</v>
      </c>
    </row>
    <row r="449" spans="1:11">
      <c r="A449" s="111" t="s">
        <v>53</v>
      </c>
      <c r="B449" s="108">
        <v>9500</v>
      </c>
      <c r="C449" s="21"/>
      <c r="D449" s="108"/>
      <c r="E449" s="108"/>
      <c r="F449" s="108">
        <f t="shared" si="118"/>
        <v>9500</v>
      </c>
      <c r="G449" s="108">
        <f>G450</f>
        <v>12000</v>
      </c>
      <c r="H449" s="108">
        <f t="shared" si="148"/>
        <v>2500</v>
      </c>
      <c r="I449" s="158">
        <f t="shared" si="149"/>
        <v>0.26315789473684209</v>
      </c>
      <c r="J449" s="108">
        <f t="shared" si="150"/>
        <v>2500</v>
      </c>
      <c r="K449" s="158">
        <f t="shared" si="151"/>
        <v>0.26315789473684209</v>
      </c>
    </row>
    <row r="450" spans="1:11">
      <c r="A450" s="82" t="s">
        <v>72</v>
      </c>
      <c r="B450" s="118">
        <v>9500</v>
      </c>
      <c r="C450" s="21"/>
      <c r="D450" s="118"/>
      <c r="E450" s="118"/>
      <c r="F450" s="118">
        <f t="shared" si="118"/>
        <v>9500</v>
      </c>
      <c r="G450" s="118">
        <v>12000</v>
      </c>
      <c r="H450" s="118">
        <f t="shared" si="148"/>
        <v>2500</v>
      </c>
      <c r="I450" s="159">
        <f t="shared" si="149"/>
        <v>0.26315789473684209</v>
      </c>
      <c r="J450" s="118">
        <f t="shared" si="150"/>
        <v>2500</v>
      </c>
      <c r="K450" s="159">
        <f t="shared" si="151"/>
        <v>0.26315789473684209</v>
      </c>
    </row>
    <row r="451" spans="1:11">
      <c r="A451" s="111" t="s">
        <v>52</v>
      </c>
      <c r="B451" s="108">
        <v>100</v>
      </c>
      <c r="C451" s="21"/>
      <c r="D451" s="108"/>
      <c r="E451" s="108"/>
      <c r="F451" s="108">
        <f t="shared" si="118"/>
        <v>100</v>
      </c>
      <c r="G451" s="108">
        <f>G452</f>
        <v>100</v>
      </c>
      <c r="H451" s="108">
        <f t="shared" si="148"/>
        <v>0</v>
      </c>
      <c r="I451" s="158">
        <f t="shared" si="149"/>
        <v>0</v>
      </c>
      <c r="J451" s="108">
        <f t="shared" si="150"/>
        <v>0</v>
      </c>
      <c r="K451" s="158">
        <f t="shared" si="151"/>
        <v>0</v>
      </c>
    </row>
    <row r="452" spans="1:11">
      <c r="A452" s="82" t="s">
        <v>81</v>
      </c>
      <c r="B452" s="118">
        <v>100</v>
      </c>
      <c r="C452" s="21"/>
      <c r="D452" s="118"/>
      <c r="E452" s="118"/>
      <c r="F452" s="118">
        <f t="shared" si="118"/>
        <v>100</v>
      </c>
      <c r="G452" s="118">
        <v>100</v>
      </c>
      <c r="H452" s="118">
        <f t="shared" si="148"/>
        <v>0</v>
      </c>
      <c r="I452" s="159">
        <f t="shared" si="149"/>
        <v>0</v>
      </c>
      <c r="J452" s="118">
        <f t="shared" si="150"/>
        <v>0</v>
      </c>
      <c r="K452" s="159">
        <f t="shared" si="151"/>
        <v>0</v>
      </c>
    </row>
    <row r="453" spans="1:11">
      <c r="A453" s="82"/>
      <c r="B453" s="118"/>
      <c r="C453" s="21"/>
      <c r="D453" s="118"/>
      <c r="E453" s="118"/>
      <c r="F453" s="118">
        <f t="shared" si="118"/>
        <v>0</v>
      </c>
      <c r="G453" s="254"/>
      <c r="H453" s="118">
        <f t="shared" si="148"/>
        <v>0</v>
      </c>
      <c r="I453" s="159"/>
      <c r="J453" s="118">
        <f t="shared" si="150"/>
        <v>0</v>
      </c>
      <c r="K453" s="159" t="str">
        <f t="shared" si="151"/>
        <v/>
      </c>
    </row>
    <row r="454" spans="1:11">
      <c r="A454" s="106" t="s">
        <v>754</v>
      </c>
      <c r="B454" s="107">
        <f>SUM(B455+B458)</f>
        <v>20000</v>
      </c>
      <c r="C454" s="21"/>
      <c r="D454" s="107"/>
      <c r="E454" s="107"/>
      <c r="F454" s="107">
        <f t="shared" si="118"/>
        <v>20000</v>
      </c>
      <c r="G454" s="154">
        <v>23000</v>
      </c>
      <c r="H454" s="107">
        <f t="shared" si="148"/>
        <v>3000</v>
      </c>
      <c r="I454" s="156">
        <f t="shared" si="149"/>
        <v>0.15</v>
      </c>
      <c r="J454" s="107">
        <f t="shared" si="150"/>
        <v>3000</v>
      </c>
      <c r="K454" s="156">
        <f t="shared" si="151"/>
        <v>0.15</v>
      </c>
    </row>
    <row r="455" spans="1:11">
      <c r="A455" s="111" t="s">
        <v>55</v>
      </c>
      <c r="B455" s="108">
        <f>SUM(B456:B457)</f>
        <v>17000</v>
      </c>
      <c r="C455" s="21"/>
      <c r="D455" s="108"/>
      <c r="E455" s="108"/>
      <c r="F455" s="108">
        <f t="shared" ref="F455:F518" si="152">SUM(B455:E455)</f>
        <v>17000</v>
      </c>
      <c r="G455" s="151">
        <v>19000</v>
      </c>
      <c r="H455" s="108">
        <f t="shared" si="148"/>
        <v>2000</v>
      </c>
      <c r="I455" s="158">
        <f t="shared" si="149"/>
        <v>0.11764705882352941</v>
      </c>
      <c r="J455" s="108">
        <f t="shared" si="150"/>
        <v>2000</v>
      </c>
      <c r="K455" s="158">
        <f t="shared" si="151"/>
        <v>0.11764705882352941</v>
      </c>
    </row>
    <row r="456" spans="1:11">
      <c r="A456" s="82" t="s">
        <v>77</v>
      </c>
      <c r="B456" s="118">
        <v>7000</v>
      </c>
      <c r="C456" s="21"/>
      <c r="D456" s="118"/>
      <c r="E456" s="118"/>
      <c r="F456" s="118">
        <f t="shared" si="152"/>
        <v>7000</v>
      </c>
      <c r="G456" s="143">
        <v>5000</v>
      </c>
      <c r="H456" s="118">
        <f t="shared" si="148"/>
        <v>-2000</v>
      </c>
      <c r="I456" s="159">
        <f t="shared" si="149"/>
        <v>-0.2857142857142857</v>
      </c>
      <c r="J456" s="118">
        <f t="shared" si="150"/>
        <v>-2000</v>
      </c>
      <c r="K456" s="159">
        <f t="shared" si="151"/>
        <v>-0.2857142857142857</v>
      </c>
    </row>
    <row r="457" spans="1:11">
      <c r="A457" s="83" t="s">
        <v>72</v>
      </c>
      <c r="B457" s="112">
        <v>10000</v>
      </c>
      <c r="C457" s="140"/>
      <c r="D457" s="112"/>
      <c r="E457" s="112"/>
      <c r="F457" s="112">
        <f t="shared" si="152"/>
        <v>10000</v>
      </c>
      <c r="G457" s="143">
        <v>14000</v>
      </c>
      <c r="H457" s="112">
        <f t="shared" si="148"/>
        <v>4000</v>
      </c>
      <c r="I457" s="186">
        <f t="shared" si="149"/>
        <v>0.4</v>
      </c>
      <c r="J457" s="112">
        <f t="shared" si="150"/>
        <v>4000</v>
      </c>
      <c r="K457" s="186">
        <f t="shared" si="151"/>
        <v>0.4</v>
      </c>
    </row>
    <row r="458" spans="1:11">
      <c r="A458" s="111" t="s">
        <v>52</v>
      </c>
      <c r="B458" s="108">
        <f>SUM(B459)</f>
        <v>3000</v>
      </c>
      <c r="C458" s="21"/>
      <c r="D458" s="108"/>
      <c r="E458" s="108"/>
      <c r="F458" s="108">
        <f t="shared" si="152"/>
        <v>3000</v>
      </c>
      <c r="G458" s="141">
        <v>4000</v>
      </c>
      <c r="H458" s="108">
        <f t="shared" si="148"/>
        <v>1000</v>
      </c>
      <c r="I458" s="158">
        <f t="shared" si="149"/>
        <v>0.33333333333333331</v>
      </c>
      <c r="J458" s="108">
        <f t="shared" si="150"/>
        <v>1000</v>
      </c>
      <c r="K458" s="158">
        <f t="shared" si="151"/>
        <v>0.33333333333333331</v>
      </c>
    </row>
    <row r="459" spans="1:11">
      <c r="A459" s="82" t="s">
        <v>81</v>
      </c>
      <c r="B459" s="118">
        <v>3000</v>
      </c>
      <c r="C459" s="21"/>
      <c r="D459" s="118"/>
      <c r="E459" s="118"/>
      <c r="F459" s="118">
        <f t="shared" si="152"/>
        <v>3000</v>
      </c>
      <c r="G459" s="143">
        <v>4000</v>
      </c>
      <c r="H459" s="118">
        <f t="shared" si="148"/>
        <v>1000</v>
      </c>
      <c r="I459" s="159">
        <f t="shared" si="149"/>
        <v>0.33333333333333331</v>
      </c>
      <c r="J459" s="118">
        <f t="shared" si="150"/>
        <v>1000</v>
      </c>
      <c r="K459" s="159">
        <f t="shared" si="151"/>
        <v>0.33333333333333331</v>
      </c>
    </row>
    <row r="460" spans="1:11">
      <c r="A460" s="111"/>
      <c r="B460" s="108"/>
      <c r="C460" s="21"/>
      <c r="D460" s="108"/>
      <c r="E460" s="108"/>
      <c r="F460" s="108">
        <f t="shared" si="152"/>
        <v>0</v>
      </c>
      <c r="G460" s="254"/>
      <c r="H460" s="108">
        <f t="shared" si="148"/>
        <v>0</v>
      </c>
      <c r="I460" s="158"/>
      <c r="J460" s="108">
        <f t="shared" si="150"/>
        <v>0</v>
      </c>
      <c r="K460" s="158" t="str">
        <f t="shared" si="151"/>
        <v/>
      </c>
    </row>
    <row r="461" spans="1:11">
      <c r="A461" s="106" t="s">
        <v>755</v>
      </c>
      <c r="B461" s="107">
        <f>B463+B477+B483</f>
        <v>483330</v>
      </c>
      <c r="C461" s="107">
        <f t="shared" ref="C461:D461" si="153">C463+C477+C483</f>
        <v>0</v>
      </c>
      <c r="D461" s="107">
        <f t="shared" si="153"/>
        <v>16160</v>
      </c>
      <c r="E461" s="107">
        <f>E463+E477+E483</f>
        <v>13800</v>
      </c>
      <c r="F461" s="107">
        <f t="shared" si="152"/>
        <v>513290</v>
      </c>
      <c r="G461" s="107">
        <f t="shared" ref="G461" si="154">G463+G477+G483</f>
        <v>579130</v>
      </c>
      <c r="H461" s="107">
        <f t="shared" si="148"/>
        <v>95800</v>
      </c>
      <c r="I461" s="156">
        <f t="shared" si="149"/>
        <v>0.19820826350526555</v>
      </c>
      <c r="J461" s="107">
        <f t="shared" si="150"/>
        <v>65840</v>
      </c>
      <c r="K461" s="156">
        <f t="shared" si="151"/>
        <v>0.12827056829472619</v>
      </c>
    </row>
    <row r="462" spans="1:11">
      <c r="A462" s="106"/>
      <c r="B462" s="107"/>
      <c r="C462" s="21"/>
      <c r="D462" s="107"/>
      <c r="E462" s="141"/>
      <c r="F462" s="107">
        <f t="shared" si="152"/>
        <v>0</v>
      </c>
      <c r="G462" s="21"/>
      <c r="H462" s="107">
        <f t="shared" si="148"/>
        <v>0</v>
      </c>
      <c r="I462" s="156"/>
      <c r="J462" s="107">
        <f t="shared" si="150"/>
        <v>0</v>
      </c>
      <c r="K462" s="156" t="str">
        <f t="shared" si="151"/>
        <v/>
      </c>
    </row>
    <row r="463" spans="1:11">
      <c r="A463" s="111" t="s">
        <v>756</v>
      </c>
      <c r="B463" s="108">
        <f>B464+B467+B470+B473</f>
        <v>397130</v>
      </c>
      <c r="C463" s="108">
        <f t="shared" ref="C463:D463" si="155">C464+C467+C470+C473</f>
        <v>0</v>
      </c>
      <c r="D463" s="108">
        <f t="shared" si="155"/>
        <v>16160</v>
      </c>
      <c r="E463" s="108">
        <f>E464+E467+E470+E473</f>
        <v>18800</v>
      </c>
      <c r="F463" s="108">
        <f t="shared" si="152"/>
        <v>432090</v>
      </c>
      <c r="G463" s="108">
        <f t="shared" ref="G463" si="156">G464+G467+G470+G473</f>
        <v>487430</v>
      </c>
      <c r="H463" s="108">
        <f t="shared" si="148"/>
        <v>90300</v>
      </c>
      <c r="I463" s="158">
        <f t="shared" si="149"/>
        <v>0.22738146198977666</v>
      </c>
      <c r="J463" s="108">
        <f t="shared" si="150"/>
        <v>55340</v>
      </c>
      <c r="K463" s="158">
        <f t="shared" si="151"/>
        <v>0.1280751695248675</v>
      </c>
    </row>
    <row r="464" spans="1:11">
      <c r="A464" s="111" t="s">
        <v>59</v>
      </c>
      <c r="B464" s="108">
        <f>B465+B466</f>
        <v>47500</v>
      </c>
      <c r="C464" s="21"/>
      <c r="D464" s="108"/>
      <c r="E464" s="108">
        <f>E465+E466</f>
        <v>6800</v>
      </c>
      <c r="F464" s="108">
        <f t="shared" si="152"/>
        <v>54300</v>
      </c>
      <c r="G464" s="108">
        <f t="shared" ref="G464" si="157">G465+G466</f>
        <v>55000</v>
      </c>
      <c r="H464" s="108">
        <f t="shared" si="148"/>
        <v>7500</v>
      </c>
      <c r="I464" s="158">
        <f t="shared" si="149"/>
        <v>0.15789473684210525</v>
      </c>
      <c r="J464" s="108">
        <f t="shared" si="150"/>
        <v>700</v>
      </c>
      <c r="K464" s="158">
        <f t="shared" si="151"/>
        <v>1.289134438305709E-2</v>
      </c>
    </row>
    <row r="465" spans="1:11">
      <c r="A465" s="82" t="s">
        <v>86</v>
      </c>
      <c r="B465" s="118">
        <v>15500</v>
      </c>
      <c r="C465" s="21"/>
      <c r="D465" s="118"/>
      <c r="E465" s="138">
        <v>1400</v>
      </c>
      <c r="F465" s="118">
        <f t="shared" si="152"/>
        <v>16900</v>
      </c>
      <c r="G465" s="118">
        <f>15700+800</f>
        <v>16500</v>
      </c>
      <c r="H465" s="118">
        <f t="shared" si="148"/>
        <v>1000</v>
      </c>
      <c r="I465" s="159">
        <f t="shared" si="149"/>
        <v>6.4516129032258063E-2</v>
      </c>
      <c r="J465" s="118">
        <f t="shared" si="150"/>
        <v>-400</v>
      </c>
      <c r="K465" s="159">
        <f t="shared" si="151"/>
        <v>-2.3668639053254437E-2</v>
      </c>
    </row>
    <row r="466" spans="1:11">
      <c r="A466" s="82" t="s">
        <v>70</v>
      </c>
      <c r="B466" s="118">
        <v>32000</v>
      </c>
      <c r="C466" s="21"/>
      <c r="D466" s="118"/>
      <c r="E466" s="138">
        <v>5400</v>
      </c>
      <c r="F466" s="118">
        <f t="shared" si="152"/>
        <v>37400</v>
      </c>
      <c r="G466" s="118">
        <f>32600+5900</f>
        <v>38500</v>
      </c>
      <c r="H466" s="118">
        <f t="shared" si="148"/>
        <v>6500</v>
      </c>
      <c r="I466" s="159">
        <f t="shared" si="149"/>
        <v>0.203125</v>
      </c>
      <c r="J466" s="118">
        <f t="shared" si="150"/>
        <v>1100</v>
      </c>
      <c r="K466" s="159">
        <f t="shared" si="151"/>
        <v>2.9411764705882353E-2</v>
      </c>
    </row>
    <row r="467" spans="1:11">
      <c r="A467" s="111" t="s">
        <v>51</v>
      </c>
      <c r="B467" s="108">
        <f>B468+B469</f>
        <v>153140</v>
      </c>
      <c r="C467" s="108">
        <f t="shared" ref="C467:G467" si="158">C468+C469</f>
        <v>0</v>
      </c>
      <c r="D467" s="108">
        <f t="shared" si="158"/>
        <v>7160</v>
      </c>
      <c r="E467" s="108">
        <f>E468+E469</f>
        <v>10000</v>
      </c>
      <c r="F467" s="108">
        <f t="shared" si="152"/>
        <v>170300</v>
      </c>
      <c r="G467" s="108">
        <f t="shared" si="158"/>
        <v>179900</v>
      </c>
      <c r="H467" s="108">
        <f t="shared" si="148"/>
        <v>26760</v>
      </c>
      <c r="I467" s="158">
        <f t="shared" si="149"/>
        <v>0.17474206608332246</v>
      </c>
      <c r="J467" s="108">
        <f t="shared" si="150"/>
        <v>9600</v>
      </c>
      <c r="K467" s="158">
        <f t="shared" si="151"/>
        <v>5.6371109806224312E-2</v>
      </c>
    </row>
    <row r="468" spans="1:11">
      <c r="A468" s="82" t="s">
        <v>69</v>
      </c>
      <c r="B468" s="118">
        <v>99140</v>
      </c>
      <c r="C468" s="21"/>
      <c r="D468" s="118">
        <v>7160</v>
      </c>
      <c r="E468" s="141"/>
      <c r="F468" s="118">
        <f t="shared" si="152"/>
        <v>106300</v>
      </c>
      <c r="G468" s="118">
        <f>113400+2500</f>
        <v>115900</v>
      </c>
      <c r="H468" s="118">
        <f t="shared" si="148"/>
        <v>16760</v>
      </c>
      <c r="I468" s="159">
        <f t="shared" si="149"/>
        <v>0.16905386322372404</v>
      </c>
      <c r="J468" s="118">
        <f t="shared" si="150"/>
        <v>9600</v>
      </c>
      <c r="K468" s="159">
        <f t="shared" si="151"/>
        <v>9.0310442144873007E-2</v>
      </c>
    </row>
    <row r="469" spans="1:11">
      <c r="A469" s="82" t="s">
        <v>70</v>
      </c>
      <c r="B469" s="118">
        <v>54000</v>
      </c>
      <c r="C469" s="21"/>
      <c r="D469" s="118"/>
      <c r="E469" s="138">
        <v>10000</v>
      </c>
      <c r="F469" s="118">
        <f t="shared" si="152"/>
        <v>64000</v>
      </c>
      <c r="G469" s="118">
        <f>48000+16000</f>
        <v>64000</v>
      </c>
      <c r="H469" s="118">
        <f t="shared" si="148"/>
        <v>10000</v>
      </c>
      <c r="I469" s="159">
        <f t="shared" si="149"/>
        <v>0.18518518518518517</v>
      </c>
      <c r="J469" s="118">
        <f t="shared" si="150"/>
        <v>0</v>
      </c>
      <c r="K469" s="159">
        <f t="shared" si="151"/>
        <v>0</v>
      </c>
    </row>
    <row r="470" spans="1:11">
      <c r="A470" s="111" t="s">
        <v>58</v>
      </c>
      <c r="B470" s="108">
        <f>B471+B472</f>
        <v>50490</v>
      </c>
      <c r="C470" s="108">
        <f t="shared" ref="C470:D470" si="159">C471+C472</f>
        <v>0</v>
      </c>
      <c r="D470" s="108">
        <f t="shared" si="159"/>
        <v>-7000</v>
      </c>
      <c r="E470" s="108">
        <f>E471+E472</f>
        <v>-2000</v>
      </c>
      <c r="F470" s="108">
        <f t="shared" si="152"/>
        <v>41490</v>
      </c>
      <c r="G470" s="108">
        <f t="shared" ref="G470" si="160">G471+G472</f>
        <v>43530</v>
      </c>
      <c r="H470" s="108">
        <f t="shared" si="148"/>
        <v>-6960</v>
      </c>
      <c r="I470" s="158">
        <f t="shared" si="149"/>
        <v>-0.1378490790255496</v>
      </c>
      <c r="J470" s="108">
        <f t="shared" si="150"/>
        <v>2040</v>
      </c>
      <c r="K470" s="158">
        <f t="shared" si="151"/>
        <v>4.9168474331164135E-2</v>
      </c>
    </row>
    <row r="471" spans="1:11">
      <c r="A471" s="83" t="s">
        <v>94</v>
      </c>
      <c r="B471" s="112">
        <v>49460</v>
      </c>
      <c r="C471" s="21"/>
      <c r="D471" s="112">
        <v>-7000</v>
      </c>
      <c r="E471" s="138">
        <v>-2000</v>
      </c>
      <c r="F471" s="112">
        <f t="shared" si="152"/>
        <v>40460</v>
      </c>
      <c r="G471" s="112">
        <f>39000+3500</f>
        <v>42500</v>
      </c>
      <c r="H471" s="112">
        <f t="shared" si="148"/>
        <v>-6960</v>
      </c>
      <c r="I471" s="186">
        <f t="shared" si="149"/>
        <v>-0.14071977355438739</v>
      </c>
      <c r="J471" s="112">
        <f t="shared" si="150"/>
        <v>2040</v>
      </c>
      <c r="K471" s="186">
        <f t="shared" si="151"/>
        <v>5.0420168067226892E-2</v>
      </c>
    </row>
    <row r="472" spans="1:11">
      <c r="A472" s="83" t="s">
        <v>83</v>
      </c>
      <c r="B472" s="112">
        <v>1030</v>
      </c>
      <c r="C472" s="21"/>
      <c r="D472" s="112"/>
      <c r="E472" s="141"/>
      <c r="F472" s="112">
        <f t="shared" si="152"/>
        <v>1030</v>
      </c>
      <c r="G472" s="112">
        <v>1030</v>
      </c>
      <c r="H472" s="112">
        <f t="shared" si="148"/>
        <v>0</v>
      </c>
      <c r="I472" s="186">
        <f t="shared" si="149"/>
        <v>0</v>
      </c>
      <c r="J472" s="112">
        <f t="shared" si="150"/>
        <v>0</v>
      </c>
      <c r="K472" s="186">
        <f t="shared" si="151"/>
        <v>0</v>
      </c>
    </row>
    <row r="473" spans="1:11">
      <c r="A473" s="111" t="s">
        <v>52</v>
      </c>
      <c r="B473" s="108">
        <f>B474+B475</f>
        <v>146000</v>
      </c>
      <c r="C473" s="21"/>
      <c r="D473" s="108">
        <f>D474+D475</f>
        <v>16000</v>
      </c>
      <c r="E473" s="108">
        <f>E474+E475</f>
        <v>4000</v>
      </c>
      <c r="F473" s="108">
        <f t="shared" si="152"/>
        <v>166000</v>
      </c>
      <c r="G473" s="108">
        <f t="shared" ref="G473" si="161">G474+G475</f>
        <v>209000</v>
      </c>
      <c r="H473" s="108">
        <f t="shared" si="148"/>
        <v>63000</v>
      </c>
      <c r="I473" s="158">
        <f t="shared" si="149"/>
        <v>0.4315068493150685</v>
      </c>
      <c r="J473" s="108">
        <f t="shared" si="150"/>
        <v>43000</v>
      </c>
      <c r="K473" s="158">
        <f t="shared" si="151"/>
        <v>0.25903614457831325</v>
      </c>
    </row>
    <row r="474" spans="1:11">
      <c r="A474" s="82" t="s">
        <v>92</v>
      </c>
      <c r="B474" s="118">
        <v>136000</v>
      </c>
      <c r="C474" s="21"/>
      <c r="D474" s="118">
        <v>12000</v>
      </c>
      <c r="E474" s="138">
        <v>4000</v>
      </c>
      <c r="F474" s="118">
        <f t="shared" si="152"/>
        <v>152000</v>
      </c>
      <c r="G474" s="118">
        <f>146000+49000</f>
        <v>195000</v>
      </c>
      <c r="H474" s="118">
        <f t="shared" si="148"/>
        <v>59000</v>
      </c>
      <c r="I474" s="159">
        <f t="shared" si="149"/>
        <v>0.43382352941176472</v>
      </c>
      <c r="J474" s="118">
        <f t="shared" si="150"/>
        <v>43000</v>
      </c>
      <c r="K474" s="159">
        <f t="shared" si="151"/>
        <v>0.28289473684210525</v>
      </c>
    </row>
    <row r="475" spans="1:11">
      <c r="A475" s="83" t="s">
        <v>84</v>
      </c>
      <c r="B475" s="112">
        <v>10000</v>
      </c>
      <c r="C475" s="21"/>
      <c r="D475" s="118">
        <v>4000</v>
      </c>
      <c r="E475" s="141"/>
      <c r="F475" s="112">
        <f t="shared" si="152"/>
        <v>14000</v>
      </c>
      <c r="G475" s="112">
        <f>12000+2000</f>
        <v>14000</v>
      </c>
      <c r="H475" s="112">
        <f t="shared" si="148"/>
        <v>4000</v>
      </c>
      <c r="I475" s="186">
        <f t="shared" si="149"/>
        <v>0.4</v>
      </c>
      <c r="J475" s="112">
        <f t="shared" si="150"/>
        <v>0</v>
      </c>
      <c r="K475" s="186">
        <f t="shared" si="151"/>
        <v>0</v>
      </c>
    </row>
    <row r="476" spans="1:11">
      <c r="A476" s="83"/>
      <c r="B476" s="112"/>
      <c r="C476" s="21"/>
      <c r="D476" s="112"/>
      <c r="E476" s="141"/>
      <c r="F476" s="112">
        <f t="shared" si="152"/>
        <v>0</v>
      </c>
      <c r="G476" s="254"/>
      <c r="H476" s="112">
        <f t="shared" si="148"/>
        <v>0</v>
      </c>
      <c r="I476" s="186"/>
      <c r="J476" s="112">
        <f t="shared" si="150"/>
        <v>0</v>
      </c>
      <c r="K476" s="186" t="str">
        <f t="shared" si="151"/>
        <v/>
      </c>
    </row>
    <row r="477" spans="1:11">
      <c r="A477" s="119" t="s">
        <v>757</v>
      </c>
      <c r="B477" s="120">
        <f>B478+B480</f>
        <v>44000</v>
      </c>
      <c r="C477" s="21"/>
      <c r="D477" s="120"/>
      <c r="E477" s="120">
        <f>E478+E480</f>
        <v>-5000</v>
      </c>
      <c r="F477" s="120">
        <f t="shared" si="152"/>
        <v>39000</v>
      </c>
      <c r="G477" s="120">
        <f t="shared" ref="G477" si="162">G478+G480</f>
        <v>49000</v>
      </c>
      <c r="H477" s="120">
        <f t="shared" si="148"/>
        <v>5000</v>
      </c>
      <c r="I477" s="187">
        <f t="shared" si="149"/>
        <v>0.11363636363636363</v>
      </c>
      <c r="J477" s="120">
        <f t="shared" si="150"/>
        <v>10000</v>
      </c>
      <c r="K477" s="187">
        <f t="shared" si="151"/>
        <v>0.25641025641025639</v>
      </c>
    </row>
    <row r="478" spans="1:11">
      <c r="A478" s="111" t="s">
        <v>55</v>
      </c>
      <c r="B478" s="108">
        <f>B479</f>
        <v>30000</v>
      </c>
      <c r="C478" s="21"/>
      <c r="D478" s="108"/>
      <c r="E478" s="108">
        <f>E479</f>
        <v>-5000</v>
      </c>
      <c r="F478" s="108">
        <f t="shared" si="152"/>
        <v>25000</v>
      </c>
      <c r="G478" s="108">
        <f t="shared" ref="G478" si="163">G479</f>
        <v>33000</v>
      </c>
      <c r="H478" s="108">
        <f t="shared" si="148"/>
        <v>3000</v>
      </c>
      <c r="I478" s="158">
        <f t="shared" si="149"/>
        <v>0.1</v>
      </c>
      <c r="J478" s="108">
        <f t="shared" si="150"/>
        <v>8000</v>
      </c>
      <c r="K478" s="158">
        <f t="shared" si="151"/>
        <v>0.32</v>
      </c>
    </row>
    <row r="479" spans="1:11">
      <c r="A479" s="83" t="s">
        <v>82</v>
      </c>
      <c r="B479" s="112">
        <v>30000</v>
      </c>
      <c r="C479" s="21"/>
      <c r="D479" s="112"/>
      <c r="E479" s="138">
        <v>-5000</v>
      </c>
      <c r="F479" s="112">
        <f t="shared" si="152"/>
        <v>25000</v>
      </c>
      <c r="G479" s="112">
        <f>30000+3000</f>
        <v>33000</v>
      </c>
      <c r="H479" s="112">
        <f t="shared" si="148"/>
        <v>3000</v>
      </c>
      <c r="I479" s="186">
        <f t="shared" si="149"/>
        <v>0.1</v>
      </c>
      <c r="J479" s="112">
        <f t="shared" si="150"/>
        <v>8000</v>
      </c>
      <c r="K479" s="186">
        <f t="shared" si="151"/>
        <v>0.32</v>
      </c>
    </row>
    <row r="480" spans="1:11">
      <c r="A480" s="111" t="s">
        <v>56</v>
      </c>
      <c r="B480" s="108">
        <f>B481</f>
        <v>14000</v>
      </c>
      <c r="C480" s="21"/>
      <c r="D480" s="108"/>
      <c r="E480" s="141"/>
      <c r="F480" s="108">
        <f t="shared" si="152"/>
        <v>14000</v>
      </c>
      <c r="G480" s="108">
        <f t="shared" ref="G480" si="164">G481</f>
        <v>16000</v>
      </c>
      <c r="H480" s="108">
        <f t="shared" si="148"/>
        <v>2000</v>
      </c>
      <c r="I480" s="158">
        <f t="shared" si="149"/>
        <v>0.14285714285714285</v>
      </c>
      <c r="J480" s="108">
        <f t="shared" si="150"/>
        <v>2000</v>
      </c>
      <c r="K480" s="158">
        <f t="shared" si="151"/>
        <v>0.14285714285714285</v>
      </c>
    </row>
    <row r="481" spans="1:11">
      <c r="A481" s="82" t="s">
        <v>79</v>
      </c>
      <c r="B481" s="118">
        <v>14000</v>
      </c>
      <c r="C481" s="21"/>
      <c r="D481" s="118"/>
      <c r="E481" s="141"/>
      <c r="F481" s="118">
        <f t="shared" si="152"/>
        <v>14000</v>
      </c>
      <c r="G481" s="118">
        <f>14000+2000</f>
        <v>16000</v>
      </c>
      <c r="H481" s="118">
        <f t="shared" si="148"/>
        <v>2000</v>
      </c>
      <c r="I481" s="159">
        <f t="shared" si="149"/>
        <v>0.14285714285714285</v>
      </c>
      <c r="J481" s="118">
        <f t="shared" si="150"/>
        <v>2000</v>
      </c>
      <c r="K481" s="159">
        <f t="shared" si="151"/>
        <v>0.14285714285714285</v>
      </c>
    </row>
    <row r="482" spans="1:11">
      <c r="A482" s="82"/>
      <c r="B482" s="118"/>
      <c r="C482" s="21"/>
      <c r="D482" s="118"/>
      <c r="E482" s="141"/>
      <c r="F482" s="118">
        <f t="shared" si="152"/>
        <v>0</v>
      </c>
      <c r="G482" s="254"/>
      <c r="H482" s="118">
        <f t="shared" si="148"/>
        <v>0</v>
      </c>
      <c r="I482" s="159"/>
      <c r="J482" s="118">
        <f t="shared" si="150"/>
        <v>0</v>
      </c>
      <c r="K482" s="159" t="str">
        <f t="shared" si="151"/>
        <v/>
      </c>
    </row>
    <row r="483" spans="1:11">
      <c r="A483" s="111" t="s">
        <v>758</v>
      </c>
      <c r="B483" s="108">
        <f>B484</f>
        <v>42200</v>
      </c>
      <c r="C483" s="21"/>
      <c r="D483" s="108"/>
      <c r="E483" s="141"/>
      <c r="F483" s="108">
        <f t="shared" si="152"/>
        <v>42200</v>
      </c>
      <c r="G483" s="108">
        <f t="shared" ref="G483" si="165">G484</f>
        <v>42700</v>
      </c>
      <c r="H483" s="108">
        <f t="shared" si="148"/>
        <v>500</v>
      </c>
      <c r="I483" s="158">
        <f t="shared" si="149"/>
        <v>1.1848341232227487E-2</v>
      </c>
      <c r="J483" s="108">
        <f t="shared" si="150"/>
        <v>500</v>
      </c>
      <c r="K483" s="158">
        <f t="shared" si="151"/>
        <v>1.1848341232227487E-2</v>
      </c>
    </row>
    <row r="484" spans="1:11">
      <c r="A484" s="111" t="s">
        <v>61</v>
      </c>
      <c r="B484" s="108">
        <f>B485+B486+B487+B488+B489</f>
        <v>42200</v>
      </c>
      <c r="C484" s="21"/>
      <c r="D484" s="108"/>
      <c r="E484" s="141"/>
      <c r="F484" s="108">
        <f t="shared" si="152"/>
        <v>42200</v>
      </c>
      <c r="G484" s="108">
        <f t="shared" ref="G484" si="166">G485+G486+G487+G488+G489</f>
        <v>42700</v>
      </c>
      <c r="H484" s="108">
        <f t="shared" si="148"/>
        <v>500</v>
      </c>
      <c r="I484" s="158">
        <f t="shared" si="149"/>
        <v>1.1848341232227487E-2</v>
      </c>
      <c r="J484" s="108">
        <f t="shared" si="150"/>
        <v>500</v>
      </c>
      <c r="K484" s="158">
        <f t="shared" si="151"/>
        <v>1.1848341232227487E-2</v>
      </c>
    </row>
    <row r="485" spans="1:11">
      <c r="A485" s="82" t="s">
        <v>95</v>
      </c>
      <c r="B485" s="118">
        <v>6500</v>
      </c>
      <c r="C485" s="21"/>
      <c r="D485" s="118"/>
      <c r="E485" s="141"/>
      <c r="F485" s="118">
        <f t="shared" si="152"/>
        <v>6500</v>
      </c>
      <c r="G485" s="118">
        <v>6500</v>
      </c>
      <c r="H485" s="118">
        <f t="shared" si="148"/>
        <v>0</v>
      </c>
      <c r="I485" s="159">
        <f t="shared" si="149"/>
        <v>0</v>
      </c>
      <c r="J485" s="118">
        <f t="shared" si="150"/>
        <v>0</v>
      </c>
      <c r="K485" s="159">
        <f t="shared" si="151"/>
        <v>0</v>
      </c>
    </row>
    <row r="486" spans="1:11">
      <c r="A486" s="83" t="s">
        <v>89</v>
      </c>
      <c r="B486" s="112">
        <v>9000</v>
      </c>
      <c r="C486" s="21"/>
      <c r="D486" s="112"/>
      <c r="E486" s="141"/>
      <c r="F486" s="112">
        <f t="shared" si="152"/>
        <v>9000</v>
      </c>
      <c r="G486" s="112">
        <v>9000</v>
      </c>
      <c r="H486" s="112">
        <f t="shared" si="148"/>
        <v>0</v>
      </c>
      <c r="I486" s="186">
        <f t="shared" si="149"/>
        <v>0</v>
      </c>
      <c r="J486" s="112">
        <f t="shared" si="150"/>
        <v>0</v>
      </c>
      <c r="K486" s="186">
        <f t="shared" si="151"/>
        <v>0</v>
      </c>
    </row>
    <row r="487" spans="1:11">
      <c r="A487" s="83" t="s">
        <v>97</v>
      </c>
      <c r="B487" s="112">
        <v>1200</v>
      </c>
      <c r="C487" s="21"/>
      <c r="D487" s="112"/>
      <c r="E487" s="141"/>
      <c r="F487" s="112">
        <f t="shared" si="152"/>
        <v>1200</v>
      </c>
      <c r="G487" s="112">
        <v>1200</v>
      </c>
      <c r="H487" s="112">
        <f t="shared" si="148"/>
        <v>0</v>
      </c>
      <c r="I487" s="186">
        <f t="shared" si="149"/>
        <v>0</v>
      </c>
      <c r="J487" s="112">
        <f t="shared" si="150"/>
        <v>0</v>
      </c>
      <c r="K487" s="186">
        <f t="shared" si="151"/>
        <v>0</v>
      </c>
    </row>
    <row r="488" spans="1:11">
      <c r="A488" s="83" t="s">
        <v>75</v>
      </c>
      <c r="B488" s="112">
        <v>5500</v>
      </c>
      <c r="C488" s="21"/>
      <c r="D488" s="112"/>
      <c r="E488" s="141"/>
      <c r="F488" s="112">
        <f t="shared" si="152"/>
        <v>5500</v>
      </c>
      <c r="G488" s="112">
        <f>5500+500</f>
        <v>6000</v>
      </c>
      <c r="H488" s="112">
        <f t="shared" si="148"/>
        <v>500</v>
      </c>
      <c r="I488" s="186">
        <f t="shared" si="149"/>
        <v>9.0909090909090912E-2</v>
      </c>
      <c r="J488" s="112">
        <f t="shared" si="150"/>
        <v>500</v>
      </c>
      <c r="K488" s="186">
        <f t="shared" si="151"/>
        <v>9.0909090909090912E-2</v>
      </c>
    </row>
    <row r="489" spans="1:11">
      <c r="A489" s="82" t="s">
        <v>183</v>
      </c>
      <c r="B489" s="118">
        <v>20000</v>
      </c>
      <c r="C489" s="21"/>
      <c r="D489" s="118"/>
      <c r="E489" s="141"/>
      <c r="F489" s="118">
        <f t="shared" si="152"/>
        <v>20000</v>
      </c>
      <c r="G489" s="118">
        <v>20000</v>
      </c>
      <c r="H489" s="118">
        <f t="shared" si="148"/>
        <v>0</v>
      </c>
      <c r="I489" s="159">
        <f t="shared" si="149"/>
        <v>0</v>
      </c>
      <c r="J489" s="118">
        <f t="shared" si="150"/>
        <v>0</v>
      </c>
      <c r="K489" s="159">
        <f t="shared" si="151"/>
        <v>0</v>
      </c>
    </row>
    <row r="490" spans="1:11">
      <c r="A490" s="82"/>
      <c r="B490" s="118"/>
      <c r="C490" s="21"/>
      <c r="D490" s="118"/>
      <c r="E490" s="118"/>
      <c r="F490" s="118">
        <f t="shared" si="152"/>
        <v>0</v>
      </c>
      <c r="G490" s="254"/>
      <c r="H490" s="118">
        <f t="shared" si="148"/>
        <v>0</v>
      </c>
      <c r="I490" s="159"/>
      <c r="J490" s="118">
        <f t="shared" si="150"/>
        <v>0</v>
      </c>
      <c r="K490" s="159" t="str">
        <f t="shared" si="151"/>
        <v/>
      </c>
    </row>
    <row r="491" spans="1:11">
      <c r="A491" s="106" t="s">
        <v>759</v>
      </c>
      <c r="B491" s="107">
        <f>B493+B508+B516+B523</f>
        <v>4483100</v>
      </c>
      <c r="C491" s="21"/>
      <c r="D491" s="107">
        <f>D493+D508+D516+D523</f>
        <v>-429840</v>
      </c>
      <c r="E491" s="107">
        <f t="shared" ref="E491:G491" si="167">E493+E508+E516+E523</f>
        <v>-446290</v>
      </c>
      <c r="F491" s="107">
        <f t="shared" si="152"/>
        <v>3606970</v>
      </c>
      <c r="G491" s="107">
        <f t="shared" si="167"/>
        <v>4708500</v>
      </c>
      <c r="H491" s="107">
        <f t="shared" si="148"/>
        <v>225400</v>
      </c>
      <c r="I491" s="156">
        <f t="shared" si="149"/>
        <v>5.0277709620575047E-2</v>
      </c>
      <c r="J491" s="107">
        <f t="shared" si="150"/>
        <v>1101530</v>
      </c>
      <c r="K491" s="156">
        <f t="shared" si="151"/>
        <v>0.30538928796191817</v>
      </c>
    </row>
    <row r="492" spans="1:11">
      <c r="A492" s="109"/>
      <c r="B492" s="110"/>
      <c r="C492" s="21"/>
      <c r="D492" s="110"/>
      <c r="E492" s="110"/>
      <c r="F492" s="110">
        <f t="shared" si="152"/>
        <v>0</v>
      </c>
      <c r="G492" s="254"/>
      <c r="H492" s="110">
        <f t="shared" si="148"/>
        <v>0</v>
      </c>
      <c r="I492" s="188"/>
      <c r="J492" s="110">
        <f t="shared" si="150"/>
        <v>0</v>
      </c>
      <c r="K492" s="188" t="str">
        <f t="shared" si="151"/>
        <v/>
      </c>
    </row>
    <row r="493" spans="1:11">
      <c r="A493" s="111" t="s">
        <v>760</v>
      </c>
      <c r="B493" s="108">
        <f>B494+B497+B501+B504</f>
        <v>4221500</v>
      </c>
      <c r="C493" s="21"/>
      <c r="D493" s="108">
        <f>D494+D497+D501+D504</f>
        <v>-452840</v>
      </c>
      <c r="E493" s="108">
        <f>E494+E497+E501+E504</f>
        <v>-473990</v>
      </c>
      <c r="F493" s="108">
        <f t="shared" si="152"/>
        <v>3294670</v>
      </c>
      <c r="G493" s="108">
        <f>G494+G497+G501+G504</f>
        <v>4387700</v>
      </c>
      <c r="H493" s="108">
        <f t="shared" si="148"/>
        <v>166200</v>
      </c>
      <c r="I493" s="158">
        <f t="shared" si="149"/>
        <v>3.9369892218405783E-2</v>
      </c>
      <c r="J493" s="108">
        <f t="shared" si="150"/>
        <v>1093030</v>
      </c>
      <c r="K493" s="158">
        <f t="shared" si="151"/>
        <v>0.33175705002321931</v>
      </c>
    </row>
    <row r="494" spans="1:11">
      <c r="A494" s="111" t="s">
        <v>59</v>
      </c>
      <c r="B494" s="108">
        <f>SUM(B495:B496)</f>
        <v>45000</v>
      </c>
      <c r="C494" s="21"/>
      <c r="D494" s="108">
        <f>SUM(D496:D496)</f>
        <v>3000</v>
      </c>
      <c r="E494" s="108">
        <f>SUM(E495:E496)</f>
        <v>4000</v>
      </c>
      <c r="F494" s="108">
        <f t="shared" si="152"/>
        <v>52000</v>
      </c>
      <c r="G494" s="108">
        <f>SUM(G495:G496)</f>
        <v>53000</v>
      </c>
      <c r="H494" s="108">
        <f t="shared" si="148"/>
        <v>8000</v>
      </c>
      <c r="I494" s="158">
        <f t="shared" si="149"/>
        <v>0.17777777777777778</v>
      </c>
      <c r="J494" s="108">
        <f t="shared" si="150"/>
        <v>1000</v>
      </c>
      <c r="K494" s="158">
        <f t="shared" si="151"/>
        <v>1.9230769230769232E-2</v>
      </c>
    </row>
    <row r="495" spans="1:11">
      <c r="A495" s="82" t="s">
        <v>86</v>
      </c>
      <c r="B495" s="118">
        <v>35000</v>
      </c>
      <c r="C495" s="21"/>
      <c r="D495" s="108"/>
      <c r="E495" s="108"/>
      <c r="F495" s="118">
        <f t="shared" si="152"/>
        <v>35000</v>
      </c>
      <c r="G495" s="118">
        <v>36000</v>
      </c>
      <c r="H495" s="118">
        <f t="shared" si="148"/>
        <v>1000</v>
      </c>
      <c r="I495" s="159">
        <f t="shared" si="149"/>
        <v>2.8571428571428571E-2</v>
      </c>
      <c r="J495" s="118">
        <f t="shared" si="150"/>
        <v>1000</v>
      </c>
      <c r="K495" s="159">
        <f t="shared" si="151"/>
        <v>2.8571428571428571E-2</v>
      </c>
    </row>
    <row r="496" spans="1:11">
      <c r="A496" s="82" t="s">
        <v>70</v>
      </c>
      <c r="B496" s="118">
        <v>10000</v>
      </c>
      <c r="C496" s="21"/>
      <c r="D496" s="118">
        <v>3000</v>
      </c>
      <c r="E496" s="118">
        <v>4000</v>
      </c>
      <c r="F496" s="118">
        <f t="shared" si="152"/>
        <v>17000</v>
      </c>
      <c r="G496" s="118">
        <v>17000</v>
      </c>
      <c r="H496" s="118">
        <f t="shared" si="148"/>
        <v>7000</v>
      </c>
      <c r="I496" s="159">
        <f t="shared" si="149"/>
        <v>0.7</v>
      </c>
      <c r="J496" s="118">
        <f t="shared" si="150"/>
        <v>0</v>
      </c>
      <c r="K496" s="159">
        <f t="shared" si="151"/>
        <v>0</v>
      </c>
    </row>
    <row r="497" spans="1:11">
      <c r="A497" s="111" t="s">
        <v>51</v>
      </c>
      <c r="B497" s="108">
        <f>SUM(B498:B500)</f>
        <v>2785600</v>
      </c>
      <c r="C497" s="21"/>
      <c r="D497" s="108">
        <f>SUM(D498:D500)</f>
        <v>-386230</v>
      </c>
      <c r="E497" s="108">
        <f>SUM(E498:E500)</f>
        <v>93000</v>
      </c>
      <c r="F497" s="108">
        <f t="shared" si="152"/>
        <v>2492370</v>
      </c>
      <c r="G497" s="108">
        <f>SUM(G498:G500)</f>
        <v>2952700</v>
      </c>
      <c r="H497" s="108">
        <f t="shared" si="148"/>
        <v>167100</v>
      </c>
      <c r="I497" s="158">
        <f t="shared" si="149"/>
        <v>5.9987076392877654E-2</v>
      </c>
      <c r="J497" s="108">
        <f t="shared" si="150"/>
        <v>460330</v>
      </c>
      <c r="K497" s="158">
        <f t="shared" si="151"/>
        <v>0.18469569124969407</v>
      </c>
    </row>
    <row r="498" spans="1:11">
      <c r="A498" s="82" t="s">
        <v>69</v>
      </c>
      <c r="B498" s="118">
        <v>2635300</v>
      </c>
      <c r="C498" s="21"/>
      <c r="D498" s="118">
        <v>-455230</v>
      </c>
      <c r="E498" s="118">
        <v>6000</v>
      </c>
      <c r="F498" s="118">
        <f t="shared" si="152"/>
        <v>2186070</v>
      </c>
      <c r="G498" s="118">
        <v>2732100</v>
      </c>
      <c r="H498" s="118">
        <f t="shared" si="148"/>
        <v>96800</v>
      </c>
      <c r="I498" s="159">
        <f t="shared" si="149"/>
        <v>3.673206086593557E-2</v>
      </c>
      <c r="J498" s="118">
        <f t="shared" si="150"/>
        <v>546030</v>
      </c>
      <c r="K498" s="159">
        <f t="shared" si="151"/>
        <v>0.24977699707694631</v>
      </c>
    </row>
    <row r="499" spans="1:11">
      <c r="A499" s="82" t="s">
        <v>70</v>
      </c>
      <c r="B499" s="118">
        <v>92000</v>
      </c>
      <c r="C499" s="21"/>
      <c r="D499" s="118">
        <v>54000</v>
      </c>
      <c r="E499" s="118">
        <v>82000</v>
      </c>
      <c r="F499" s="118">
        <f t="shared" si="152"/>
        <v>228000</v>
      </c>
      <c r="G499" s="118">
        <v>152000</v>
      </c>
      <c r="H499" s="118">
        <f t="shared" si="148"/>
        <v>60000</v>
      </c>
      <c r="I499" s="159">
        <f t="shared" si="149"/>
        <v>0.65217391304347827</v>
      </c>
      <c r="J499" s="118">
        <f t="shared" si="150"/>
        <v>-76000</v>
      </c>
      <c r="K499" s="159">
        <f t="shared" si="151"/>
        <v>-0.33333333333333331</v>
      </c>
    </row>
    <row r="500" spans="1:11">
      <c r="A500" s="82" t="s">
        <v>206</v>
      </c>
      <c r="B500" s="118">
        <v>58300</v>
      </c>
      <c r="C500" s="21"/>
      <c r="D500" s="118">
        <v>15000</v>
      </c>
      <c r="E500" s="118">
        <v>5000</v>
      </c>
      <c r="F500" s="118">
        <f t="shared" si="152"/>
        <v>78300</v>
      </c>
      <c r="G500" s="118">
        <v>68600</v>
      </c>
      <c r="H500" s="118">
        <f t="shared" si="148"/>
        <v>10300</v>
      </c>
      <c r="I500" s="159">
        <f t="shared" si="149"/>
        <v>0.17667238421955403</v>
      </c>
      <c r="J500" s="118">
        <f t="shared" si="150"/>
        <v>-9700</v>
      </c>
      <c r="K500" s="159">
        <f t="shared" si="151"/>
        <v>-0.12388250319284802</v>
      </c>
    </row>
    <row r="501" spans="1:11">
      <c r="A501" s="111" t="s">
        <v>58</v>
      </c>
      <c r="B501" s="108">
        <f>SUM(B502:B503)</f>
        <v>1015900</v>
      </c>
      <c r="C501" s="21"/>
      <c r="D501" s="108">
        <f>SUM(D502:D502)</f>
        <v>-93610</v>
      </c>
      <c r="E501" s="108">
        <f>SUM(E502:E503)</f>
        <v>-547990</v>
      </c>
      <c r="F501" s="108">
        <f t="shared" si="152"/>
        <v>374300</v>
      </c>
      <c r="G501" s="108">
        <f>SUM(G502:G503)</f>
        <v>978000</v>
      </c>
      <c r="H501" s="108">
        <f t="shared" si="148"/>
        <v>-37900</v>
      </c>
      <c r="I501" s="158">
        <f t="shared" si="149"/>
        <v>-3.7306821537552909E-2</v>
      </c>
      <c r="J501" s="108">
        <f t="shared" si="150"/>
        <v>603700</v>
      </c>
      <c r="K501" s="158">
        <f t="shared" si="151"/>
        <v>1.6128773710927065</v>
      </c>
    </row>
    <row r="502" spans="1:11">
      <c r="A502" s="83" t="s">
        <v>94</v>
      </c>
      <c r="B502" s="112">
        <v>1007900</v>
      </c>
      <c r="C502" s="21"/>
      <c r="D502" s="118">
        <v>-93610</v>
      </c>
      <c r="E502" s="112">
        <f>-545590</f>
        <v>-545590</v>
      </c>
      <c r="F502" s="112">
        <f t="shared" si="152"/>
        <v>368700</v>
      </c>
      <c r="G502" s="112">
        <v>970000</v>
      </c>
      <c r="H502" s="112">
        <f t="shared" si="148"/>
        <v>-37900</v>
      </c>
      <c r="I502" s="186">
        <f t="shared" si="149"/>
        <v>-3.7602936799285641E-2</v>
      </c>
      <c r="J502" s="112">
        <f t="shared" si="150"/>
        <v>601300</v>
      </c>
      <c r="K502" s="186">
        <f t="shared" si="151"/>
        <v>1.6308652020612964</v>
      </c>
    </row>
    <row r="503" spans="1:11">
      <c r="A503" s="172" t="s">
        <v>93</v>
      </c>
      <c r="B503" s="112">
        <v>8000</v>
      </c>
      <c r="C503" s="21"/>
      <c r="D503" s="118"/>
      <c r="E503" s="112">
        <v>-2400</v>
      </c>
      <c r="F503" s="112">
        <f t="shared" si="152"/>
        <v>5600</v>
      </c>
      <c r="G503" s="112">
        <v>8000</v>
      </c>
      <c r="H503" s="112">
        <f t="shared" si="148"/>
        <v>0</v>
      </c>
      <c r="I503" s="186">
        <f t="shared" si="149"/>
        <v>0</v>
      </c>
      <c r="J503" s="112">
        <f t="shared" si="150"/>
        <v>2400</v>
      </c>
      <c r="K503" s="186">
        <f t="shared" si="151"/>
        <v>0.42857142857142855</v>
      </c>
    </row>
    <row r="504" spans="1:11">
      <c r="A504" s="119" t="s">
        <v>52</v>
      </c>
      <c r="B504" s="120">
        <f>SUM(B505:B506)</f>
        <v>375000</v>
      </c>
      <c r="C504" s="21"/>
      <c r="D504" s="108">
        <f>SUM(D505:D506)</f>
        <v>24000</v>
      </c>
      <c r="E504" s="120">
        <f>SUM(E505:E506)</f>
        <v>-23000</v>
      </c>
      <c r="F504" s="120">
        <f t="shared" si="152"/>
        <v>376000</v>
      </c>
      <c r="G504" s="120">
        <f>SUM(G505:G506)</f>
        <v>404000</v>
      </c>
      <c r="H504" s="120">
        <f t="shared" si="148"/>
        <v>29000</v>
      </c>
      <c r="I504" s="187">
        <f t="shared" si="149"/>
        <v>7.7333333333333337E-2</v>
      </c>
      <c r="J504" s="120">
        <f t="shared" si="150"/>
        <v>28000</v>
      </c>
      <c r="K504" s="187">
        <f t="shared" si="151"/>
        <v>7.4468085106382975E-2</v>
      </c>
    </row>
    <row r="505" spans="1:11">
      <c r="A505" s="82" t="s">
        <v>92</v>
      </c>
      <c r="B505" s="118">
        <v>372000</v>
      </c>
      <c r="C505" s="21"/>
      <c r="D505" s="118">
        <v>20000</v>
      </c>
      <c r="E505" s="118">
        <v>-24000</v>
      </c>
      <c r="F505" s="118">
        <f t="shared" si="152"/>
        <v>368000</v>
      </c>
      <c r="G505" s="118">
        <f>33000*12</f>
        <v>396000</v>
      </c>
      <c r="H505" s="118">
        <f t="shared" si="148"/>
        <v>24000</v>
      </c>
      <c r="I505" s="159">
        <f t="shared" si="149"/>
        <v>6.4516129032258063E-2</v>
      </c>
      <c r="J505" s="118">
        <f t="shared" si="150"/>
        <v>28000</v>
      </c>
      <c r="K505" s="159">
        <f t="shared" si="151"/>
        <v>7.6086956521739135E-2</v>
      </c>
    </row>
    <row r="506" spans="1:11">
      <c r="A506" s="82" t="s">
        <v>84</v>
      </c>
      <c r="B506" s="118">
        <v>3000</v>
      </c>
      <c r="C506" s="21"/>
      <c r="D506" s="118">
        <v>4000</v>
      </c>
      <c r="E506" s="118">
        <v>1000</v>
      </c>
      <c r="F506" s="118">
        <f t="shared" si="152"/>
        <v>8000</v>
      </c>
      <c r="G506" s="118">
        <v>8000</v>
      </c>
      <c r="H506" s="118">
        <f t="shared" si="148"/>
        <v>5000</v>
      </c>
      <c r="I506" s="159">
        <f t="shared" si="149"/>
        <v>1.6666666666666667</v>
      </c>
      <c r="J506" s="118">
        <f t="shared" si="150"/>
        <v>0</v>
      </c>
      <c r="K506" s="159">
        <f t="shared" si="151"/>
        <v>0</v>
      </c>
    </row>
    <row r="507" spans="1:11">
      <c r="A507" s="109"/>
      <c r="B507" s="110"/>
      <c r="C507" s="21"/>
      <c r="D507" s="110"/>
      <c r="E507" s="110"/>
      <c r="F507" s="110">
        <f t="shared" si="152"/>
        <v>0</v>
      </c>
      <c r="G507" s="254"/>
      <c r="H507" s="110">
        <f t="shared" si="148"/>
        <v>0</v>
      </c>
      <c r="I507" s="188"/>
      <c r="J507" s="110">
        <f t="shared" si="150"/>
        <v>0</v>
      </c>
      <c r="K507" s="188" t="str">
        <f t="shared" si="151"/>
        <v/>
      </c>
    </row>
    <row r="508" spans="1:11">
      <c r="A508" s="119" t="s">
        <v>761</v>
      </c>
      <c r="B508" s="120">
        <f>B509</f>
        <v>43200</v>
      </c>
      <c r="C508" s="21"/>
      <c r="D508" s="108">
        <f>D509</f>
        <v>5200</v>
      </c>
      <c r="E508" s="120">
        <f>E509</f>
        <v>0</v>
      </c>
      <c r="F508" s="120">
        <f t="shared" si="152"/>
        <v>48400</v>
      </c>
      <c r="G508" s="120">
        <f>G509</f>
        <v>54800</v>
      </c>
      <c r="H508" s="120">
        <f t="shared" si="148"/>
        <v>11600</v>
      </c>
      <c r="I508" s="187">
        <f t="shared" si="149"/>
        <v>0.26851851851851855</v>
      </c>
      <c r="J508" s="120">
        <f t="shared" si="150"/>
        <v>6400</v>
      </c>
      <c r="K508" s="187">
        <f t="shared" si="151"/>
        <v>0.13223140495867769</v>
      </c>
    </row>
    <row r="509" spans="1:11">
      <c r="A509" s="111" t="s">
        <v>61</v>
      </c>
      <c r="B509" s="108">
        <f>SUM(B510:B514)</f>
        <v>43200</v>
      </c>
      <c r="C509" s="21"/>
      <c r="D509" s="108">
        <f>SUM(D510:D514)</f>
        <v>5200</v>
      </c>
      <c r="E509" s="108">
        <f>SUM(E510:E514)</f>
        <v>0</v>
      </c>
      <c r="F509" s="108">
        <f t="shared" si="152"/>
        <v>48400</v>
      </c>
      <c r="G509" s="108">
        <f>SUM(G510:G514)</f>
        <v>54800</v>
      </c>
      <c r="H509" s="108">
        <f t="shared" si="148"/>
        <v>11600</v>
      </c>
      <c r="I509" s="158">
        <f t="shared" si="149"/>
        <v>0.26851851851851855</v>
      </c>
      <c r="J509" s="108">
        <f t="shared" si="150"/>
        <v>6400</v>
      </c>
      <c r="K509" s="158">
        <f t="shared" si="151"/>
        <v>0.13223140495867769</v>
      </c>
    </row>
    <row r="510" spans="1:11">
      <c r="A510" s="82" t="s">
        <v>95</v>
      </c>
      <c r="B510" s="118">
        <v>3000</v>
      </c>
      <c r="C510" s="21"/>
      <c r="D510" s="118">
        <v>1000</v>
      </c>
      <c r="E510" s="118">
        <v>-500</v>
      </c>
      <c r="F510" s="118">
        <f t="shared" si="152"/>
        <v>3500</v>
      </c>
      <c r="G510" s="118">
        <v>4000</v>
      </c>
      <c r="H510" s="118">
        <f t="shared" si="148"/>
        <v>1000</v>
      </c>
      <c r="I510" s="159">
        <f t="shared" si="149"/>
        <v>0.33333333333333331</v>
      </c>
      <c r="J510" s="118">
        <f t="shared" si="150"/>
        <v>500</v>
      </c>
      <c r="K510" s="159">
        <f t="shared" si="151"/>
        <v>0.14285714285714285</v>
      </c>
    </row>
    <row r="511" spans="1:11">
      <c r="A511" s="83" t="s">
        <v>89</v>
      </c>
      <c r="B511" s="112">
        <v>35000</v>
      </c>
      <c r="C511" s="21"/>
      <c r="D511" s="118">
        <v>3000</v>
      </c>
      <c r="E511" s="118">
        <v>500</v>
      </c>
      <c r="F511" s="112">
        <f t="shared" si="152"/>
        <v>38500</v>
      </c>
      <c r="G511" s="112">
        <v>43000</v>
      </c>
      <c r="H511" s="112">
        <f t="shared" si="148"/>
        <v>8000</v>
      </c>
      <c r="I511" s="186">
        <f t="shared" si="149"/>
        <v>0.22857142857142856</v>
      </c>
      <c r="J511" s="112">
        <f t="shared" si="150"/>
        <v>4500</v>
      </c>
      <c r="K511" s="186">
        <f t="shared" si="151"/>
        <v>0.11688311688311688</v>
      </c>
    </row>
    <row r="512" spans="1:11">
      <c r="A512" s="83" t="s">
        <v>207</v>
      </c>
      <c r="B512" s="112">
        <v>1500</v>
      </c>
      <c r="C512" s="21"/>
      <c r="D512" s="118">
        <v>100</v>
      </c>
      <c r="E512" s="118"/>
      <c r="F512" s="112">
        <f t="shared" si="152"/>
        <v>1600</v>
      </c>
      <c r="G512" s="112">
        <v>1900</v>
      </c>
      <c r="H512" s="112">
        <f t="shared" ref="H512:H573" si="168">G512-B512</f>
        <v>400</v>
      </c>
      <c r="I512" s="186">
        <f t="shared" ref="I512:I572" si="169">H512/B512</f>
        <v>0.26666666666666666</v>
      </c>
      <c r="J512" s="112">
        <f t="shared" ref="J512:J573" si="170">G512-F512</f>
        <v>300</v>
      </c>
      <c r="K512" s="186">
        <f t="shared" ref="K512:K573" si="171">IF(G512=0,"",J512/F512)</f>
        <v>0.1875</v>
      </c>
    </row>
    <row r="513" spans="1:11">
      <c r="A513" s="83" t="s">
        <v>75</v>
      </c>
      <c r="B513" s="112">
        <v>2000</v>
      </c>
      <c r="C513" s="21"/>
      <c r="D513" s="118">
        <v>600</v>
      </c>
      <c r="E513" s="118"/>
      <c r="F513" s="112">
        <f t="shared" si="152"/>
        <v>2600</v>
      </c>
      <c r="G513" s="112">
        <v>3400</v>
      </c>
      <c r="H513" s="112">
        <f t="shared" si="168"/>
        <v>1400</v>
      </c>
      <c r="I513" s="186">
        <f t="shared" si="169"/>
        <v>0.7</v>
      </c>
      <c r="J513" s="112">
        <f t="shared" si="170"/>
        <v>800</v>
      </c>
      <c r="K513" s="186">
        <f t="shared" si="171"/>
        <v>0.30769230769230771</v>
      </c>
    </row>
    <row r="514" spans="1:11">
      <c r="A514" s="83" t="s">
        <v>97</v>
      </c>
      <c r="B514" s="112">
        <v>1700</v>
      </c>
      <c r="C514" s="21"/>
      <c r="D514" s="118">
        <v>500</v>
      </c>
      <c r="E514" s="118"/>
      <c r="F514" s="112">
        <f t="shared" si="152"/>
        <v>2200</v>
      </c>
      <c r="G514" s="112">
        <v>2500</v>
      </c>
      <c r="H514" s="112">
        <f t="shared" si="168"/>
        <v>800</v>
      </c>
      <c r="I514" s="186">
        <f t="shared" si="169"/>
        <v>0.47058823529411764</v>
      </c>
      <c r="J514" s="112">
        <f t="shared" si="170"/>
        <v>300</v>
      </c>
      <c r="K514" s="186">
        <f t="shared" si="171"/>
        <v>0.13636363636363635</v>
      </c>
    </row>
    <row r="515" spans="1:11">
      <c r="A515" s="82"/>
      <c r="B515" s="118"/>
      <c r="C515" s="21"/>
      <c r="D515" s="118"/>
      <c r="E515" s="118"/>
      <c r="F515" s="118">
        <f t="shared" si="152"/>
        <v>0</v>
      </c>
      <c r="G515" s="253"/>
      <c r="H515" s="118">
        <f t="shared" si="168"/>
        <v>0</v>
      </c>
      <c r="I515" s="159"/>
      <c r="J515" s="118">
        <f t="shared" si="170"/>
        <v>0</v>
      </c>
      <c r="K515" s="159" t="str">
        <f t="shared" si="171"/>
        <v/>
      </c>
    </row>
    <row r="516" spans="1:11">
      <c r="A516" s="111" t="s">
        <v>762</v>
      </c>
      <c r="B516" s="108">
        <f>B517+B520</f>
        <v>147200</v>
      </c>
      <c r="C516" s="21"/>
      <c r="D516" s="108">
        <f>D517</f>
        <v>12000</v>
      </c>
      <c r="E516" s="108">
        <f>E517+E520</f>
        <v>26300</v>
      </c>
      <c r="F516" s="108">
        <f t="shared" si="152"/>
        <v>185500</v>
      </c>
      <c r="G516" s="108">
        <f>G517+G520</f>
        <v>187500</v>
      </c>
      <c r="H516" s="108">
        <f t="shared" si="168"/>
        <v>40300</v>
      </c>
      <c r="I516" s="158">
        <f t="shared" si="169"/>
        <v>0.27377717391304346</v>
      </c>
      <c r="J516" s="108">
        <f t="shared" si="170"/>
        <v>2000</v>
      </c>
      <c r="K516" s="158">
        <f t="shared" si="171"/>
        <v>1.078167115902965E-2</v>
      </c>
    </row>
    <row r="517" spans="1:11">
      <c r="A517" s="111" t="s">
        <v>51</v>
      </c>
      <c r="B517" s="108">
        <f>SUM(B518:B519)</f>
        <v>63200</v>
      </c>
      <c r="C517" s="21"/>
      <c r="D517" s="108">
        <f>SUM(D519:D519)</f>
        <v>12000</v>
      </c>
      <c r="E517" s="108">
        <f>SUM(E518:E519)</f>
        <v>26300</v>
      </c>
      <c r="F517" s="108">
        <f t="shared" si="152"/>
        <v>101500</v>
      </c>
      <c r="G517" s="108">
        <f>SUM(G518:G519)</f>
        <v>90500</v>
      </c>
      <c r="H517" s="108">
        <f t="shared" si="168"/>
        <v>27300</v>
      </c>
      <c r="I517" s="158">
        <f t="shared" si="169"/>
        <v>0.43196202531645572</v>
      </c>
      <c r="J517" s="108">
        <f t="shared" si="170"/>
        <v>-11000</v>
      </c>
      <c r="K517" s="158">
        <f t="shared" si="171"/>
        <v>-0.10837438423645321</v>
      </c>
    </row>
    <row r="518" spans="1:11">
      <c r="A518" s="82" t="s">
        <v>69</v>
      </c>
      <c r="B518" s="118">
        <v>29700</v>
      </c>
      <c r="C518" s="21"/>
      <c r="D518" s="108"/>
      <c r="E518" s="118">
        <v>300</v>
      </c>
      <c r="F518" s="118">
        <f t="shared" si="152"/>
        <v>30000</v>
      </c>
      <c r="G518" s="118">
        <v>30500</v>
      </c>
      <c r="H518" s="118">
        <f t="shared" si="168"/>
        <v>800</v>
      </c>
      <c r="I518" s="159">
        <f t="shared" si="169"/>
        <v>2.6936026936026935E-2</v>
      </c>
      <c r="J518" s="118">
        <f t="shared" si="170"/>
        <v>500</v>
      </c>
      <c r="K518" s="159">
        <f t="shared" si="171"/>
        <v>1.6666666666666666E-2</v>
      </c>
    </row>
    <row r="519" spans="1:11">
      <c r="A519" s="82" t="s">
        <v>70</v>
      </c>
      <c r="B519" s="118">
        <v>33500</v>
      </c>
      <c r="C519" s="21"/>
      <c r="D519" s="118">
        <v>12000</v>
      </c>
      <c r="E519" s="118">
        <f>71500-45500</f>
        <v>26000</v>
      </c>
      <c r="F519" s="118">
        <f t="shared" ref="F519:F582" si="172">SUM(B519:E519)</f>
        <v>71500</v>
      </c>
      <c r="G519" s="118">
        <v>60000</v>
      </c>
      <c r="H519" s="118">
        <f t="shared" si="168"/>
        <v>26500</v>
      </c>
      <c r="I519" s="159">
        <f t="shared" si="169"/>
        <v>0.79104477611940294</v>
      </c>
      <c r="J519" s="118">
        <f t="shared" si="170"/>
        <v>-11500</v>
      </c>
      <c r="K519" s="159">
        <f t="shared" si="171"/>
        <v>-0.16083916083916083</v>
      </c>
    </row>
    <row r="520" spans="1:11">
      <c r="A520" s="119" t="s">
        <v>52</v>
      </c>
      <c r="B520" s="120">
        <f>SUM(B521:B521)</f>
        <v>84000</v>
      </c>
      <c r="C520" s="21"/>
      <c r="D520" s="118"/>
      <c r="E520" s="118"/>
      <c r="F520" s="120">
        <f t="shared" si="172"/>
        <v>84000</v>
      </c>
      <c r="G520" s="120">
        <f>SUM(G521:G521)</f>
        <v>97000</v>
      </c>
      <c r="H520" s="120">
        <f t="shared" si="168"/>
        <v>13000</v>
      </c>
      <c r="I520" s="187">
        <f t="shared" si="169"/>
        <v>0.15476190476190477</v>
      </c>
      <c r="J520" s="120">
        <f t="shared" si="170"/>
        <v>13000</v>
      </c>
      <c r="K520" s="187">
        <f t="shared" si="171"/>
        <v>0.15476190476190477</v>
      </c>
    </row>
    <row r="521" spans="1:11">
      <c r="A521" s="82" t="s">
        <v>77</v>
      </c>
      <c r="B521" s="118">
        <v>84000</v>
      </c>
      <c r="C521" s="21"/>
      <c r="D521" s="118"/>
      <c r="E521" s="118"/>
      <c r="F521" s="118">
        <f t="shared" si="172"/>
        <v>84000</v>
      </c>
      <c r="G521" s="118">
        <v>97000</v>
      </c>
      <c r="H521" s="118">
        <f t="shared" si="168"/>
        <v>13000</v>
      </c>
      <c r="I521" s="159">
        <f t="shared" si="169"/>
        <v>0.15476190476190477</v>
      </c>
      <c r="J521" s="118">
        <f t="shared" si="170"/>
        <v>13000</v>
      </c>
      <c r="K521" s="159">
        <f t="shared" si="171"/>
        <v>0.15476190476190477</v>
      </c>
    </row>
    <row r="522" spans="1:11">
      <c r="A522" s="82"/>
      <c r="B522" s="118"/>
      <c r="C522" s="21"/>
      <c r="D522" s="118"/>
      <c r="E522" s="118"/>
      <c r="F522" s="118">
        <f t="shared" si="172"/>
        <v>0</v>
      </c>
      <c r="G522" s="254"/>
      <c r="H522" s="118">
        <f t="shared" si="168"/>
        <v>0</v>
      </c>
      <c r="I522" s="159"/>
      <c r="J522" s="118">
        <f t="shared" si="170"/>
        <v>0</v>
      </c>
      <c r="K522" s="159" t="str">
        <f t="shared" si="171"/>
        <v/>
      </c>
    </row>
    <row r="523" spans="1:11">
      <c r="A523" s="111" t="s">
        <v>763</v>
      </c>
      <c r="B523" s="108">
        <f>B524+B529</f>
        <v>71200</v>
      </c>
      <c r="C523" s="21"/>
      <c r="D523" s="108">
        <f>D524</f>
        <v>5800</v>
      </c>
      <c r="E523" s="108">
        <f>E524+E529</f>
        <v>1400</v>
      </c>
      <c r="F523" s="108">
        <f t="shared" si="172"/>
        <v>78400</v>
      </c>
      <c r="G523" s="108">
        <f>G524+G529</f>
        <v>78500</v>
      </c>
      <c r="H523" s="108">
        <f t="shared" si="168"/>
        <v>7300</v>
      </c>
      <c r="I523" s="158">
        <f t="shared" si="169"/>
        <v>0.10252808988764045</v>
      </c>
      <c r="J523" s="108">
        <f t="shared" si="170"/>
        <v>100</v>
      </c>
      <c r="K523" s="158">
        <f t="shared" si="171"/>
        <v>1.2755102040816326E-3</v>
      </c>
    </row>
    <row r="524" spans="1:11">
      <c r="A524" s="111" t="s">
        <v>55</v>
      </c>
      <c r="B524" s="108">
        <f>SUM(B525:B528)</f>
        <v>52100</v>
      </c>
      <c r="C524" s="21"/>
      <c r="D524" s="108">
        <f>SUM(D525:D526)</f>
        <v>5800</v>
      </c>
      <c r="E524" s="108">
        <f>SUM(E525:E528)</f>
        <v>1100</v>
      </c>
      <c r="F524" s="108">
        <f t="shared" si="172"/>
        <v>59000</v>
      </c>
      <c r="G524" s="108">
        <f>SUM(G525:G528)</f>
        <v>59000</v>
      </c>
      <c r="H524" s="108">
        <f t="shared" si="168"/>
        <v>6900</v>
      </c>
      <c r="I524" s="158">
        <f t="shared" si="169"/>
        <v>0.1324376199616123</v>
      </c>
      <c r="J524" s="108">
        <f t="shared" si="170"/>
        <v>0</v>
      </c>
      <c r="K524" s="158">
        <f t="shared" si="171"/>
        <v>0</v>
      </c>
    </row>
    <row r="525" spans="1:11">
      <c r="A525" s="82" t="s">
        <v>77</v>
      </c>
      <c r="B525" s="118">
        <v>12000</v>
      </c>
      <c r="C525" s="21"/>
      <c r="D525" s="118">
        <v>1800</v>
      </c>
      <c r="E525" s="118">
        <v>3500</v>
      </c>
      <c r="F525" s="118">
        <f t="shared" si="172"/>
        <v>17300</v>
      </c>
      <c r="G525" s="118">
        <v>17000</v>
      </c>
      <c r="H525" s="118">
        <f t="shared" si="168"/>
        <v>5000</v>
      </c>
      <c r="I525" s="159">
        <f t="shared" si="169"/>
        <v>0.41666666666666669</v>
      </c>
      <c r="J525" s="118">
        <f t="shared" si="170"/>
        <v>-300</v>
      </c>
      <c r="K525" s="159">
        <f t="shared" si="171"/>
        <v>-1.7341040462427744E-2</v>
      </c>
    </row>
    <row r="526" spans="1:11">
      <c r="A526" s="82" t="s">
        <v>72</v>
      </c>
      <c r="B526" s="118">
        <v>10000</v>
      </c>
      <c r="C526" s="21"/>
      <c r="D526" s="118">
        <v>4000</v>
      </c>
      <c r="E526" s="118">
        <v>-3000</v>
      </c>
      <c r="F526" s="118">
        <f t="shared" si="172"/>
        <v>11000</v>
      </c>
      <c r="G526" s="118">
        <v>11000</v>
      </c>
      <c r="H526" s="118">
        <f t="shared" si="168"/>
        <v>1000</v>
      </c>
      <c r="I526" s="159">
        <f t="shared" si="169"/>
        <v>0.1</v>
      </c>
      <c r="J526" s="118">
        <f t="shared" si="170"/>
        <v>0</v>
      </c>
      <c r="K526" s="159">
        <f t="shared" si="171"/>
        <v>0</v>
      </c>
    </row>
    <row r="527" spans="1:11">
      <c r="A527" s="83" t="s">
        <v>82</v>
      </c>
      <c r="B527" s="112">
        <v>30000</v>
      </c>
      <c r="C527" s="21"/>
      <c r="D527" s="112"/>
      <c r="E527" s="112"/>
      <c r="F527" s="112">
        <f t="shared" si="172"/>
        <v>30000</v>
      </c>
      <c r="G527" s="112">
        <v>31000</v>
      </c>
      <c r="H527" s="112">
        <f t="shared" si="168"/>
        <v>1000</v>
      </c>
      <c r="I527" s="186">
        <f t="shared" si="169"/>
        <v>3.3333333333333333E-2</v>
      </c>
      <c r="J527" s="112">
        <f t="shared" si="170"/>
        <v>1000</v>
      </c>
      <c r="K527" s="186">
        <f t="shared" si="171"/>
        <v>3.3333333333333333E-2</v>
      </c>
    </row>
    <row r="528" spans="1:11">
      <c r="A528" s="82" t="s">
        <v>76</v>
      </c>
      <c r="B528" s="118">
        <v>100</v>
      </c>
      <c r="C528" s="21"/>
      <c r="D528" s="118"/>
      <c r="E528" s="118">
        <v>600</v>
      </c>
      <c r="F528" s="118">
        <f t="shared" si="172"/>
        <v>700</v>
      </c>
      <c r="G528" s="118">
        <v>0</v>
      </c>
      <c r="H528" s="118">
        <f t="shared" si="168"/>
        <v>-100</v>
      </c>
      <c r="I528" s="159">
        <f t="shared" si="169"/>
        <v>-1</v>
      </c>
      <c r="J528" s="118">
        <f t="shared" si="170"/>
        <v>-700</v>
      </c>
      <c r="K528" s="159" t="str">
        <f t="shared" si="171"/>
        <v/>
      </c>
    </row>
    <row r="529" spans="1:11">
      <c r="A529" s="111" t="s">
        <v>56</v>
      </c>
      <c r="B529" s="108">
        <f>SUM(B530:B532)</f>
        <v>19100</v>
      </c>
      <c r="C529" s="21"/>
      <c r="D529" s="108"/>
      <c r="E529" s="108">
        <f>SUM(E530:E532)</f>
        <v>300</v>
      </c>
      <c r="F529" s="108">
        <f t="shared" si="172"/>
        <v>19400</v>
      </c>
      <c r="G529" s="108">
        <f>SUM(G530:G532)</f>
        <v>19500</v>
      </c>
      <c r="H529" s="108">
        <f t="shared" si="168"/>
        <v>400</v>
      </c>
      <c r="I529" s="158">
        <f t="shared" si="169"/>
        <v>2.0942408376963352E-2</v>
      </c>
      <c r="J529" s="108">
        <f t="shared" si="170"/>
        <v>100</v>
      </c>
      <c r="K529" s="158">
        <f t="shared" si="171"/>
        <v>5.1546391752577319E-3</v>
      </c>
    </row>
    <row r="530" spans="1:11">
      <c r="A530" s="83" t="s">
        <v>208</v>
      </c>
      <c r="B530" s="112">
        <v>17000</v>
      </c>
      <c r="C530" s="21"/>
      <c r="D530" s="112"/>
      <c r="E530" s="112"/>
      <c r="F530" s="112">
        <f t="shared" si="172"/>
        <v>17000</v>
      </c>
      <c r="G530" s="112">
        <v>17000</v>
      </c>
      <c r="H530" s="112">
        <f t="shared" si="168"/>
        <v>0</v>
      </c>
      <c r="I530" s="186">
        <f t="shared" si="169"/>
        <v>0</v>
      </c>
      <c r="J530" s="112">
        <f t="shared" si="170"/>
        <v>0</v>
      </c>
      <c r="K530" s="186">
        <f t="shared" si="171"/>
        <v>0</v>
      </c>
    </row>
    <row r="531" spans="1:11">
      <c r="A531" s="83" t="s">
        <v>79</v>
      </c>
      <c r="B531" s="112">
        <v>2000</v>
      </c>
      <c r="C531" s="21"/>
      <c r="D531" s="112"/>
      <c r="E531" s="112">
        <v>300</v>
      </c>
      <c r="F531" s="112">
        <f t="shared" si="172"/>
        <v>2300</v>
      </c>
      <c r="G531" s="112">
        <v>2500</v>
      </c>
      <c r="H531" s="112">
        <f t="shared" si="168"/>
        <v>500</v>
      </c>
      <c r="I531" s="186">
        <f t="shared" si="169"/>
        <v>0.25</v>
      </c>
      <c r="J531" s="112">
        <f t="shared" si="170"/>
        <v>200</v>
      </c>
      <c r="K531" s="186">
        <f t="shared" si="171"/>
        <v>8.6956521739130432E-2</v>
      </c>
    </row>
    <row r="532" spans="1:11">
      <c r="A532" s="83" t="s">
        <v>78</v>
      </c>
      <c r="B532" s="112">
        <v>100</v>
      </c>
      <c r="C532" s="21"/>
      <c r="D532" s="112"/>
      <c r="E532" s="112"/>
      <c r="F532" s="112">
        <f t="shared" si="172"/>
        <v>100</v>
      </c>
      <c r="G532" s="112"/>
      <c r="H532" s="112">
        <f t="shared" si="168"/>
        <v>-100</v>
      </c>
      <c r="I532" s="186">
        <f t="shared" si="169"/>
        <v>-1</v>
      </c>
      <c r="J532" s="112">
        <f t="shared" si="170"/>
        <v>-100</v>
      </c>
      <c r="K532" s="186" t="str">
        <f t="shared" si="171"/>
        <v/>
      </c>
    </row>
    <row r="533" spans="1:11">
      <c r="A533" s="83"/>
      <c r="B533" s="112"/>
      <c r="C533" s="21"/>
      <c r="D533" s="112"/>
      <c r="E533" s="112"/>
      <c r="F533" s="112">
        <f t="shared" si="172"/>
        <v>0</v>
      </c>
      <c r="G533" s="254"/>
      <c r="H533" s="112">
        <f t="shared" si="168"/>
        <v>0</v>
      </c>
      <c r="I533" s="186"/>
      <c r="J533" s="112">
        <f t="shared" si="170"/>
        <v>0</v>
      </c>
      <c r="K533" s="186" t="str">
        <f t="shared" si="171"/>
        <v/>
      </c>
    </row>
    <row r="534" spans="1:11">
      <c r="A534" s="106" t="s">
        <v>764</v>
      </c>
      <c r="B534" s="107">
        <f>B536+B551</f>
        <v>336203</v>
      </c>
      <c r="C534" s="107">
        <f t="shared" ref="C534:D534" si="173">C536+C551</f>
        <v>0</v>
      </c>
      <c r="D534" s="107">
        <f t="shared" si="173"/>
        <v>7719</v>
      </c>
      <c r="E534" s="107">
        <f>E536+E551</f>
        <v>11120</v>
      </c>
      <c r="F534" s="107">
        <f t="shared" si="172"/>
        <v>355042</v>
      </c>
      <c r="G534" s="107">
        <f>G536+G551</f>
        <v>337676</v>
      </c>
      <c r="H534" s="107">
        <f t="shared" si="168"/>
        <v>1473</v>
      </c>
      <c r="I534" s="156">
        <f t="shared" si="169"/>
        <v>4.3812815471604956E-3</v>
      </c>
      <c r="J534" s="107">
        <f t="shared" si="170"/>
        <v>-17366</v>
      </c>
      <c r="K534" s="156">
        <f t="shared" si="171"/>
        <v>-4.8912523025444875E-2</v>
      </c>
    </row>
    <row r="535" spans="1:11">
      <c r="A535" s="109"/>
      <c r="B535" s="110"/>
      <c r="C535" s="110"/>
      <c r="D535" s="110"/>
      <c r="E535" s="110"/>
      <c r="F535" s="110">
        <f t="shared" si="172"/>
        <v>0</v>
      </c>
      <c r="G535" s="110"/>
      <c r="H535" s="110">
        <f t="shared" si="168"/>
        <v>0</v>
      </c>
      <c r="I535" s="188"/>
      <c r="J535" s="110">
        <f t="shared" si="170"/>
        <v>0</v>
      </c>
      <c r="K535" s="188" t="str">
        <f t="shared" si="171"/>
        <v/>
      </c>
    </row>
    <row r="536" spans="1:11">
      <c r="A536" s="111" t="s">
        <v>765</v>
      </c>
      <c r="B536" s="108">
        <f>B537+B540+B544+B547</f>
        <v>294953</v>
      </c>
      <c r="C536" s="108">
        <f t="shared" ref="C536:D536" si="174">C537+C540+C544+C547</f>
        <v>0</v>
      </c>
      <c r="D536" s="108">
        <f t="shared" si="174"/>
        <v>5594</v>
      </c>
      <c r="E536" s="108">
        <f t="shared" ref="E536:G536" si="175">E537+E540+E544+E547</f>
        <v>11495</v>
      </c>
      <c r="F536" s="108">
        <f t="shared" si="172"/>
        <v>312042</v>
      </c>
      <c r="G536" s="108">
        <f t="shared" si="175"/>
        <v>291301</v>
      </c>
      <c r="H536" s="108">
        <f t="shared" si="168"/>
        <v>-3652</v>
      </c>
      <c r="I536" s="158">
        <f t="shared" si="169"/>
        <v>-1.2381633684010672E-2</v>
      </c>
      <c r="J536" s="108">
        <f t="shared" si="170"/>
        <v>-20741</v>
      </c>
      <c r="K536" s="158">
        <f t="shared" si="171"/>
        <v>-6.6468616404201999E-2</v>
      </c>
    </row>
    <row r="537" spans="1:11">
      <c r="A537" s="111" t="s">
        <v>59</v>
      </c>
      <c r="B537" s="108">
        <f>B538+B539</f>
        <v>29790</v>
      </c>
      <c r="C537" s="21"/>
      <c r="D537" s="108"/>
      <c r="E537" s="108">
        <f t="shared" ref="E537:G537" si="176">E538+E539</f>
        <v>6150</v>
      </c>
      <c r="F537" s="108">
        <f t="shared" si="172"/>
        <v>35940</v>
      </c>
      <c r="G537" s="108">
        <f t="shared" si="176"/>
        <v>32000</v>
      </c>
      <c r="H537" s="108">
        <f t="shared" si="168"/>
        <v>2210</v>
      </c>
      <c r="I537" s="158">
        <f t="shared" si="169"/>
        <v>7.4185968445787176E-2</v>
      </c>
      <c r="J537" s="108">
        <f t="shared" si="170"/>
        <v>-3940</v>
      </c>
      <c r="K537" s="158">
        <f t="shared" si="171"/>
        <v>-0.10962715637173066</v>
      </c>
    </row>
    <row r="538" spans="1:11">
      <c r="A538" s="82" t="s">
        <v>86</v>
      </c>
      <c r="B538" s="118">
        <v>15370</v>
      </c>
      <c r="C538" s="21"/>
      <c r="D538" s="118"/>
      <c r="E538" s="118"/>
      <c r="F538" s="118">
        <f t="shared" si="172"/>
        <v>15370</v>
      </c>
      <c r="G538" s="118">
        <v>15500</v>
      </c>
      <c r="H538" s="118">
        <f t="shared" si="168"/>
        <v>130</v>
      </c>
      <c r="I538" s="159">
        <f t="shared" si="169"/>
        <v>8.4580351333767081E-3</v>
      </c>
      <c r="J538" s="118">
        <f t="shared" si="170"/>
        <v>130</v>
      </c>
      <c r="K538" s="159">
        <f t="shared" si="171"/>
        <v>8.4580351333767081E-3</v>
      </c>
    </row>
    <row r="539" spans="1:11">
      <c r="A539" s="82" t="s">
        <v>70</v>
      </c>
      <c r="B539" s="118">
        <v>14420</v>
      </c>
      <c r="C539" s="21"/>
      <c r="D539" s="118"/>
      <c r="E539" s="118">
        <v>6150</v>
      </c>
      <c r="F539" s="118">
        <f t="shared" si="172"/>
        <v>20570</v>
      </c>
      <c r="G539" s="118">
        <v>16500</v>
      </c>
      <c r="H539" s="118">
        <f t="shared" si="168"/>
        <v>2080</v>
      </c>
      <c r="I539" s="159">
        <f t="shared" si="169"/>
        <v>0.14424410540915394</v>
      </c>
      <c r="J539" s="118">
        <f t="shared" si="170"/>
        <v>-4070</v>
      </c>
      <c r="K539" s="159">
        <f t="shared" si="171"/>
        <v>-0.19786096256684493</v>
      </c>
    </row>
    <row r="540" spans="1:11">
      <c r="A540" s="111" t="s">
        <v>51</v>
      </c>
      <c r="B540" s="108">
        <f>SUM(B541:B543)</f>
        <v>32995</v>
      </c>
      <c r="C540" s="108">
        <f t="shared" ref="C540:D540" si="177">SUM(C541:C543)</f>
        <v>0</v>
      </c>
      <c r="D540" s="108">
        <f t="shared" si="177"/>
        <v>594</v>
      </c>
      <c r="E540" s="108">
        <f t="shared" ref="E540:G540" si="178">SUM(E541:E543)</f>
        <v>1980</v>
      </c>
      <c r="F540" s="108">
        <f t="shared" si="172"/>
        <v>35569</v>
      </c>
      <c r="G540" s="108">
        <f t="shared" si="178"/>
        <v>29377</v>
      </c>
      <c r="H540" s="108">
        <f t="shared" si="168"/>
        <v>-3618</v>
      </c>
      <c r="I540" s="158">
        <f t="shared" si="169"/>
        <v>-0.10965297772389757</v>
      </c>
      <c r="J540" s="108">
        <f t="shared" si="170"/>
        <v>-6192</v>
      </c>
      <c r="K540" s="158">
        <f t="shared" si="171"/>
        <v>-0.17408417442154686</v>
      </c>
    </row>
    <row r="541" spans="1:11">
      <c r="A541" s="82" t="s">
        <v>69</v>
      </c>
      <c r="B541" s="118">
        <v>27579</v>
      </c>
      <c r="C541" s="21"/>
      <c r="D541" s="118"/>
      <c r="E541" s="118">
        <v>-300</v>
      </c>
      <c r="F541" s="118">
        <f t="shared" si="172"/>
        <v>27279</v>
      </c>
      <c r="G541" s="118">
        <v>28077</v>
      </c>
      <c r="H541" s="118">
        <f t="shared" si="168"/>
        <v>498</v>
      </c>
      <c r="I541" s="159">
        <f t="shared" si="169"/>
        <v>1.8057217448058306E-2</v>
      </c>
      <c r="J541" s="118">
        <f t="shared" si="170"/>
        <v>798</v>
      </c>
      <c r="K541" s="159">
        <f t="shared" si="171"/>
        <v>2.9253271747498075E-2</v>
      </c>
    </row>
    <row r="542" spans="1:11">
      <c r="A542" s="82" t="s">
        <v>70</v>
      </c>
      <c r="B542" s="118">
        <v>1300</v>
      </c>
      <c r="C542" s="21"/>
      <c r="D542" s="118"/>
      <c r="E542" s="118">
        <v>2280</v>
      </c>
      <c r="F542" s="118">
        <f t="shared" si="172"/>
        <v>3580</v>
      </c>
      <c r="G542" s="118">
        <v>1300</v>
      </c>
      <c r="H542" s="118">
        <f t="shared" si="168"/>
        <v>0</v>
      </c>
      <c r="I542" s="159">
        <f t="shared" si="169"/>
        <v>0</v>
      </c>
      <c r="J542" s="118">
        <f t="shared" si="170"/>
        <v>-2280</v>
      </c>
      <c r="K542" s="159">
        <f t="shared" si="171"/>
        <v>-0.63687150837988826</v>
      </c>
    </row>
    <row r="543" spans="1:11">
      <c r="A543" s="82" t="s">
        <v>206</v>
      </c>
      <c r="B543" s="118">
        <v>4116</v>
      </c>
      <c r="C543" s="21"/>
      <c r="D543" s="118">
        <v>594</v>
      </c>
      <c r="E543" s="118"/>
      <c r="F543" s="118">
        <f t="shared" si="172"/>
        <v>4710</v>
      </c>
      <c r="G543" s="118">
        <v>0</v>
      </c>
      <c r="H543" s="118">
        <f t="shared" si="168"/>
        <v>-4116</v>
      </c>
      <c r="I543" s="159">
        <f t="shared" si="169"/>
        <v>-1</v>
      </c>
      <c r="J543" s="118">
        <f t="shared" si="170"/>
        <v>-4710</v>
      </c>
      <c r="K543" s="159" t="str">
        <f t="shared" si="171"/>
        <v/>
      </c>
    </row>
    <row r="544" spans="1:11">
      <c r="A544" s="111" t="s">
        <v>58</v>
      </c>
      <c r="B544" s="108">
        <f>B545+B546</f>
        <v>30358</v>
      </c>
      <c r="C544" s="21"/>
      <c r="D544" s="108"/>
      <c r="E544" s="108">
        <f t="shared" ref="E544:G544" si="179">E545+E546</f>
        <v>-745</v>
      </c>
      <c r="F544" s="108">
        <f t="shared" si="172"/>
        <v>29613</v>
      </c>
      <c r="G544" s="108">
        <f t="shared" si="179"/>
        <v>27744</v>
      </c>
      <c r="H544" s="108">
        <f t="shared" si="168"/>
        <v>-2614</v>
      </c>
      <c r="I544" s="158">
        <f t="shared" si="169"/>
        <v>-8.6105804071414452E-2</v>
      </c>
      <c r="J544" s="108">
        <f t="shared" si="170"/>
        <v>-1869</v>
      </c>
      <c r="K544" s="158">
        <f t="shared" si="171"/>
        <v>-6.3114172829500562E-2</v>
      </c>
    </row>
    <row r="545" spans="1:11">
      <c r="A545" s="83" t="s">
        <v>94</v>
      </c>
      <c r="B545" s="112">
        <v>24333</v>
      </c>
      <c r="C545" s="21"/>
      <c r="D545" s="112"/>
      <c r="E545" s="112">
        <v>755</v>
      </c>
      <c r="F545" s="112">
        <f t="shared" si="172"/>
        <v>25088</v>
      </c>
      <c r="G545" s="112">
        <v>21719</v>
      </c>
      <c r="H545" s="112">
        <f t="shared" si="168"/>
        <v>-2614</v>
      </c>
      <c r="I545" s="186">
        <f t="shared" si="169"/>
        <v>-0.1074261291250565</v>
      </c>
      <c r="J545" s="112">
        <f t="shared" si="170"/>
        <v>-3369</v>
      </c>
      <c r="K545" s="186">
        <f t="shared" si="171"/>
        <v>-0.13428730867346939</v>
      </c>
    </row>
    <row r="546" spans="1:11">
      <c r="A546" s="172" t="s">
        <v>93</v>
      </c>
      <c r="B546" s="112">
        <v>6025</v>
      </c>
      <c r="C546" s="21"/>
      <c r="D546" s="112"/>
      <c r="E546" s="112">
        <v>-1500</v>
      </c>
      <c r="F546" s="112">
        <f t="shared" si="172"/>
        <v>4525</v>
      </c>
      <c r="G546" s="112">
        <v>6025</v>
      </c>
      <c r="H546" s="112">
        <f t="shared" si="168"/>
        <v>0</v>
      </c>
      <c r="I546" s="186">
        <f t="shared" si="169"/>
        <v>0</v>
      </c>
      <c r="J546" s="112">
        <f t="shared" si="170"/>
        <v>1500</v>
      </c>
      <c r="K546" s="186">
        <f t="shared" si="171"/>
        <v>0.33149171270718231</v>
      </c>
    </row>
    <row r="547" spans="1:11">
      <c r="A547" s="111" t="s">
        <v>52</v>
      </c>
      <c r="B547" s="108">
        <f>SUM(B548:B549)</f>
        <v>201810</v>
      </c>
      <c r="C547" s="108">
        <f t="shared" ref="C547:D547" si="180">SUM(C548:C549)</f>
        <v>0</v>
      </c>
      <c r="D547" s="108">
        <f t="shared" si="180"/>
        <v>5000</v>
      </c>
      <c r="E547" s="108">
        <f t="shared" ref="E547:G547" si="181">SUM(E548:E549)</f>
        <v>4110</v>
      </c>
      <c r="F547" s="108">
        <f t="shared" si="172"/>
        <v>210920</v>
      </c>
      <c r="G547" s="108">
        <f t="shared" si="181"/>
        <v>202180</v>
      </c>
      <c r="H547" s="108">
        <f t="shared" si="168"/>
        <v>370</v>
      </c>
      <c r="I547" s="158">
        <f t="shared" si="169"/>
        <v>1.8334076606709281E-3</v>
      </c>
      <c r="J547" s="108">
        <f t="shared" si="170"/>
        <v>-8740</v>
      </c>
      <c r="K547" s="158">
        <f t="shared" si="171"/>
        <v>-4.1437511852835202E-2</v>
      </c>
    </row>
    <row r="548" spans="1:11">
      <c r="A548" s="82" t="s">
        <v>92</v>
      </c>
      <c r="B548" s="118">
        <v>195310</v>
      </c>
      <c r="C548" s="21"/>
      <c r="D548" s="118"/>
      <c r="E548" s="118">
        <v>4110</v>
      </c>
      <c r="F548" s="118">
        <f t="shared" si="172"/>
        <v>199420</v>
      </c>
      <c r="G548" s="118">
        <v>194180</v>
      </c>
      <c r="H548" s="118">
        <f t="shared" si="168"/>
        <v>-1130</v>
      </c>
      <c r="I548" s="159">
        <f t="shared" si="169"/>
        <v>-5.7856740566279248E-3</v>
      </c>
      <c r="J548" s="118">
        <f t="shared" si="170"/>
        <v>-5240</v>
      </c>
      <c r="K548" s="159">
        <f t="shared" si="171"/>
        <v>-2.6276200982850266E-2</v>
      </c>
    </row>
    <row r="549" spans="1:11">
      <c r="A549" s="83" t="s">
        <v>84</v>
      </c>
      <c r="B549" s="112">
        <v>6500</v>
      </c>
      <c r="C549" s="21"/>
      <c r="D549" s="112">
        <v>5000</v>
      </c>
      <c r="E549" s="112"/>
      <c r="F549" s="112">
        <f t="shared" si="172"/>
        <v>11500</v>
      </c>
      <c r="G549" s="112">
        <v>8000</v>
      </c>
      <c r="H549" s="112">
        <f t="shared" si="168"/>
        <v>1500</v>
      </c>
      <c r="I549" s="186">
        <f t="shared" si="169"/>
        <v>0.23076923076923078</v>
      </c>
      <c r="J549" s="112">
        <f t="shared" si="170"/>
        <v>-3500</v>
      </c>
      <c r="K549" s="186">
        <f t="shared" si="171"/>
        <v>-0.30434782608695654</v>
      </c>
    </row>
    <row r="550" spans="1:11">
      <c r="A550" s="111"/>
      <c r="B550" s="108"/>
      <c r="C550" s="21"/>
      <c r="D550" s="108"/>
      <c r="E550" s="108"/>
      <c r="F550" s="108">
        <f t="shared" si="172"/>
        <v>0</v>
      </c>
      <c r="G550" s="108"/>
      <c r="H550" s="108">
        <f t="shared" si="168"/>
        <v>0</v>
      </c>
      <c r="I550" s="158"/>
      <c r="J550" s="108">
        <f t="shared" si="170"/>
        <v>0</v>
      </c>
      <c r="K550" s="158" t="str">
        <f t="shared" si="171"/>
        <v/>
      </c>
    </row>
    <row r="551" spans="1:11">
      <c r="A551" s="173" t="s">
        <v>766</v>
      </c>
      <c r="B551" s="174">
        <f>B552+B555</f>
        <v>41250</v>
      </c>
      <c r="C551" s="174">
        <f t="shared" ref="C551:D551" si="182">C552+C555</f>
        <v>0</v>
      </c>
      <c r="D551" s="174">
        <f t="shared" si="182"/>
        <v>2125</v>
      </c>
      <c r="E551" s="174">
        <f t="shared" ref="E551:G551" si="183">E552+E555</f>
        <v>-375</v>
      </c>
      <c r="F551" s="174">
        <f t="shared" si="172"/>
        <v>43000</v>
      </c>
      <c r="G551" s="174">
        <f t="shared" si="183"/>
        <v>46375</v>
      </c>
      <c r="H551" s="174">
        <f t="shared" si="168"/>
        <v>5125</v>
      </c>
      <c r="I551" s="158">
        <f t="shared" si="169"/>
        <v>0.12424242424242424</v>
      </c>
      <c r="J551" s="174">
        <f t="shared" si="170"/>
        <v>3375</v>
      </c>
      <c r="K551" s="158">
        <f t="shared" si="171"/>
        <v>7.8488372093023256E-2</v>
      </c>
    </row>
    <row r="552" spans="1:11">
      <c r="A552" s="173" t="s">
        <v>56</v>
      </c>
      <c r="B552" s="174">
        <f>SUM(B553:B554)</f>
        <v>3250</v>
      </c>
      <c r="C552" s="174">
        <f t="shared" ref="C552:D552" si="184">SUM(C553:C554)</f>
        <v>0</v>
      </c>
      <c r="D552" s="174">
        <f t="shared" si="184"/>
        <v>1125</v>
      </c>
      <c r="E552" s="174">
        <f>SUM(E553:E554)</f>
        <v>-1375</v>
      </c>
      <c r="F552" s="174">
        <f t="shared" si="172"/>
        <v>3000</v>
      </c>
      <c r="G552" s="174">
        <f>SUM(G553:G554)</f>
        <v>4375</v>
      </c>
      <c r="H552" s="174">
        <f t="shared" si="168"/>
        <v>1125</v>
      </c>
      <c r="I552" s="158">
        <f t="shared" si="169"/>
        <v>0.34615384615384615</v>
      </c>
      <c r="J552" s="174">
        <f t="shared" si="170"/>
        <v>1375</v>
      </c>
      <c r="K552" s="158">
        <f t="shared" si="171"/>
        <v>0.45833333333333331</v>
      </c>
    </row>
    <row r="553" spans="1:11">
      <c r="A553" s="175" t="s">
        <v>208</v>
      </c>
      <c r="B553" s="176">
        <v>1000</v>
      </c>
      <c r="C553" s="21"/>
      <c r="D553" s="176"/>
      <c r="E553" s="176">
        <v>-700</v>
      </c>
      <c r="F553" s="176">
        <f t="shared" si="172"/>
        <v>300</v>
      </c>
      <c r="G553" s="176">
        <v>1000</v>
      </c>
      <c r="H553" s="176">
        <f t="shared" si="168"/>
        <v>0</v>
      </c>
      <c r="I553" s="186">
        <f t="shared" si="169"/>
        <v>0</v>
      </c>
      <c r="J553" s="176">
        <f t="shared" si="170"/>
        <v>700</v>
      </c>
      <c r="K553" s="186">
        <f t="shared" si="171"/>
        <v>2.3333333333333335</v>
      </c>
    </row>
    <row r="554" spans="1:11">
      <c r="A554" s="175" t="s">
        <v>79</v>
      </c>
      <c r="B554" s="176">
        <v>2250</v>
      </c>
      <c r="C554" s="21"/>
      <c r="D554" s="176">
        <v>1125</v>
      </c>
      <c r="E554" s="176">
        <v>-675</v>
      </c>
      <c r="F554" s="176">
        <f t="shared" si="172"/>
        <v>2700</v>
      </c>
      <c r="G554" s="176">
        <v>3375</v>
      </c>
      <c r="H554" s="176">
        <f t="shared" si="168"/>
        <v>1125</v>
      </c>
      <c r="I554" s="186">
        <f t="shared" si="169"/>
        <v>0.5</v>
      </c>
      <c r="J554" s="176">
        <f t="shared" si="170"/>
        <v>675</v>
      </c>
      <c r="K554" s="186">
        <f t="shared" si="171"/>
        <v>0.25</v>
      </c>
    </row>
    <row r="555" spans="1:11">
      <c r="A555" s="111" t="s">
        <v>61</v>
      </c>
      <c r="B555" s="108">
        <f>SUM(B556:B558)</f>
        <v>38000</v>
      </c>
      <c r="C555" s="108">
        <f t="shared" ref="C555:D555" si="185">SUM(C556:C558)</f>
        <v>0</v>
      </c>
      <c r="D555" s="108">
        <f t="shared" si="185"/>
        <v>1000</v>
      </c>
      <c r="E555" s="108">
        <f>SUM(E556:E558)</f>
        <v>1000</v>
      </c>
      <c r="F555" s="108">
        <f t="shared" si="172"/>
        <v>40000</v>
      </c>
      <c r="G555" s="108">
        <f>SUM(G556:G558)</f>
        <v>42000</v>
      </c>
      <c r="H555" s="108">
        <f t="shared" si="168"/>
        <v>4000</v>
      </c>
      <c r="I555" s="158">
        <f t="shared" si="169"/>
        <v>0.10526315789473684</v>
      </c>
      <c r="J555" s="108">
        <f t="shared" si="170"/>
        <v>2000</v>
      </c>
      <c r="K555" s="158">
        <f t="shared" si="171"/>
        <v>0.05</v>
      </c>
    </row>
    <row r="556" spans="1:11">
      <c r="A556" s="82" t="s">
        <v>95</v>
      </c>
      <c r="B556" s="118">
        <v>9000</v>
      </c>
      <c r="C556" s="21"/>
      <c r="D556" s="118">
        <v>1000</v>
      </c>
      <c r="E556" s="118"/>
      <c r="F556" s="118">
        <f t="shared" si="172"/>
        <v>10000</v>
      </c>
      <c r="G556" s="118">
        <v>11000</v>
      </c>
      <c r="H556" s="118">
        <f t="shared" si="168"/>
        <v>2000</v>
      </c>
      <c r="I556" s="159">
        <f t="shared" si="169"/>
        <v>0.22222222222222221</v>
      </c>
      <c r="J556" s="118">
        <f t="shared" si="170"/>
        <v>1000</v>
      </c>
      <c r="K556" s="159">
        <f t="shared" si="171"/>
        <v>0.1</v>
      </c>
    </row>
    <row r="557" spans="1:11">
      <c r="A557" s="82" t="s">
        <v>89</v>
      </c>
      <c r="B557" s="118">
        <v>19000</v>
      </c>
      <c r="C557" s="21"/>
      <c r="D557" s="118"/>
      <c r="E557" s="118"/>
      <c r="F557" s="118">
        <f t="shared" si="172"/>
        <v>19000</v>
      </c>
      <c r="G557" s="118">
        <v>21000</v>
      </c>
      <c r="H557" s="118">
        <f t="shared" si="168"/>
        <v>2000</v>
      </c>
      <c r="I557" s="159">
        <f t="shared" si="169"/>
        <v>0.10526315789473684</v>
      </c>
      <c r="J557" s="118">
        <f t="shared" si="170"/>
        <v>2000</v>
      </c>
      <c r="K557" s="159">
        <f t="shared" si="171"/>
        <v>0.10526315789473684</v>
      </c>
    </row>
    <row r="558" spans="1:11">
      <c r="A558" s="82" t="s">
        <v>97</v>
      </c>
      <c r="B558" s="118">
        <v>10000</v>
      </c>
      <c r="C558" s="21"/>
      <c r="D558" s="118"/>
      <c r="E558" s="118">
        <v>1000</v>
      </c>
      <c r="F558" s="118">
        <f t="shared" si="172"/>
        <v>11000</v>
      </c>
      <c r="G558" s="118">
        <v>10000</v>
      </c>
      <c r="H558" s="118">
        <f t="shared" si="168"/>
        <v>0</v>
      </c>
      <c r="I558" s="159">
        <f t="shared" si="169"/>
        <v>0</v>
      </c>
      <c r="J558" s="118">
        <f t="shared" si="170"/>
        <v>-1000</v>
      </c>
      <c r="K558" s="159">
        <f t="shared" si="171"/>
        <v>-9.0909090909090912E-2</v>
      </c>
    </row>
    <row r="559" spans="1:11">
      <c r="A559" s="83"/>
      <c r="B559" s="112"/>
      <c r="C559" s="21"/>
      <c r="D559" s="112"/>
      <c r="E559" s="112"/>
      <c r="F559" s="112">
        <f t="shared" si="172"/>
        <v>0</v>
      </c>
      <c r="G559" s="254"/>
      <c r="H559" s="112">
        <f t="shared" si="168"/>
        <v>0</v>
      </c>
      <c r="I559" s="186"/>
      <c r="J559" s="112">
        <f t="shared" si="170"/>
        <v>0</v>
      </c>
      <c r="K559" s="186" t="str">
        <f t="shared" si="171"/>
        <v/>
      </c>
    </row>
    <row r="560" spans="1:11">
      <c r="A560" s="106" t="s">
        <v>767</v>
      </c>
      <c r="B560" s="107">
        <f>B562+B578+B585+B594+B600+B606+B613</f>
        <v>997575</v>
      </c>
      <c r="C560" s="21"/>
      <c r="D560" s="107">
        <f>D562+D578+D585+D600+D613</f>
        <v>37780</v>
      </c>
      <c r="E560" s="107">
        <f>E562+E578+E585+E600+E613+E594+E606</f>
        <v>175750</v>
      </c>
      <c r="F560" s="107">
        <f t="shared" si="172"/>
        <v>1211105</v>
      </c>
      <c r="G560" s="107">
        <f>G562+G578+G585+G594+G600+G606+G613</f>
        <v>1110625</v>
      </c>
      <c r="H560" s="107">
        <f t="shared" si="168"/>
        <v>113050</v>
      </c>
      <c r="I560" s="156">
        <f t="shared" si="169"/>
        <v>0.11332481267072651</v>
      </c>
      <c r="J560" s="107">
        <f t="shared" si="170"/>
        <v>-100480</v>
      </c>
      <c r="K560" s="156">
        <f t="shared" si="171"/>
        <v>-8.2965556248219607E-2</v>
      </c>
    </row>
    <row r="561" spans="1:11">
      <c r="A561" s="109"/>
      <c r="B561" s="110"/>
      <c r="C561" s="21"/>
      <c r="D561" s="110"/>
      <c r="E561" s="110"/>
      <c r="F561" s="110">
        <f t="shared" si="172"/>
        <v>0</v>
      </c>
      <c r="G561" s="254"/>
      <c r="H561" s="110">
        <f t="shared" si="168"/>
        <v>0</v>
      </c>
      <c r="I561" s="188"/>
      <c r="J561" s="110">
        <f t="shared" si="170"/>
        <v>0</v>
      </c>
      <c r="K561" s="188" t="str">
        <f t="shared" si="171"/>
        <v/>
      </c>
    </row>
    <row r="562" spans="1:11">
      <c r="A562" s="111" t="s">
        <v>768</v>
      </c>
      <c r="B562" s="108">
        <f>B563+B566+B570+B574</f>
        <v>620210</v>
      </c>
      <c r="C562" s="21"/>
      <c r="D562" s="108">
        <f>D566+D570+D574</f>
        <v>34560</v>
      </c>
      <c r="E562" s="108">
        <f>E563+E566+E570+E574</f>
        <v>140075</v>
      </c>
      <c r="F562" s="108">
        <f t="shared" si="172"/>
        <v>794845</v>
      </c>
      <c r="G562" s="108">
        <f>G563+G566+G570+G574</f>
        <v>706110</v>
      </c>
      <c r="H562" s="108">
        <f t="shared" si="168"/>
        <v>85900</v>
      </c>
      <c r="I562" s="158">
        <f t="shared" si="169"/>
        <v>0.13850147530675094</v>
      </c>
      <c r="J562" s="108">
        <f t="shared" si="170"/>
        <v>-88735</v>
      </c>
      <c r="K562" s="158">
        <f t="shared" si="171"/>
        <v>-0.11163811812365933</v>
      </c>
    </row>
    <row r="563" spans="1:11">
      <c r="A563" s="111" t="s">
        <v>59</v>
      </c>
      <c r="B563" s="108">
        <f>+B565+B564</f>
        <v>78000</v>
      </c>
      <c r="C563" s="21"/>
      <c r="D563" s="108"/>
      <c r="E563" s="108">
        <f>E564+E565</f>
        <v>14700</v>
      </c>
      <c r="F563" s="108">
        <f t="shared" si="172"/>
        <v>92700</v>
      </c>
      <c r="G563" s="108">
        <f>+G565+G564</f>
        <v>94700</v>
      </c>
      <c r="H563" s="108">
        <f t="shared" si="168"/>
        <v>16700</v>
      </c>
      <c r="I563" s="158">
        <f t="shared" si="169"/>
        <v>0.21410256410256409</v>
      </c>
      <c r="J563" s="108">
        <f t="shared" si="170"/>
        <v>2000</v>
      </c>
      <c r="K563" s="158">
        <f t="shared" si="171"/>
        <v>2.1574973031283712E-2</v>
      </c>
    </row>
    <row r="564" spans="1:11">
      <c r="A564" s="82" t="s">
        <v>86</v>
      </c>
      <c r="B564" s="118">
        <v>26800</v>
      </c>
      <c r="C564" s="21"/>
      <c r="D564" s="108"/>
      <c r="E564" s="166">
        <v>2700</v>
      </c>
      <c r="F564" s="118">
        <f t="shared" si="172"/>
        <v>29500</v>
      </c>
      <c r="G564" s="118">
        <v>29700</v>
      </c>
      <c r="H564" s="118">
        <f t="shared" si="168"/>
        <v>2900</v>
      </c>
      <c r="I564" s="159">
        <f t="shared" si="169"/>
        <v>0.10820895522388059</v>
      </c>
      <c r="J564" s="118">
        <f t="shared" si="170"/>
        <v>200</v>
      </c>
      <c r="K564" s="159">
        <f t="shared" si="171"/>
        <v>6.7796610169491523E-3</v>
      </c>
    </row>
    <row r="565" spans="1:11">
      <c r="A565" s="82" t="s">
        <v>70</v>
      </c>
      <c r="B565" s="118">
        <v>51200</v>
      </c>
      <c r="C565" s="21"/>
      <c r="D565" s="108"/>
      <c r="E565" s="166">
        <v>12000</v>
      </c>
      <c r="F565" s="118">
        <f t="shared" si="172"/>
        <v>63200</v>
      </c>
      <c r="G565" s="118">
        <v>65000</v>
      </c>
      <c r="H565" s="118">
        <f t="shared" si="168"/>
        <v>13800</v>
      </c>
      <c r="I565" s="159">
        <f t="shared" si="169"/>
        <v>0.26953125</v>
      </c>
      <c r="J565" s="118">
        <f t="shared" si="170"/>
        <v>1800</v>
      </c>
      <c r="K565" s="159">
        <f t="shared" si="171"/>
        <v>2.8481012658227847E-2</v>
      </c>
    </row>
    <row r="566" spans="1:11">
      <c r="A566" s="111" t="s">
        <v>51</v>
      </c>
      <c r="B566" s="108">
        <f>SUM(B567:B569)</f>
        <v>175000</v>
      </c>
      <c r="C566" s="21"/>
      <c r="D566" s="108">
        <f>D567+D569</f>
        <v>-12500</v>
      </c>
      <c r="E566" s="108">
        <f>E567+E568+E569</f>
        <v>25625</v>
      </c>
      <c r="F566" s="108">
        <f t="shared" si="172"/>
        <v>188125</v>
      </c>
      <c r="G566" s="108">
        <f>SUM(G567:G569)</f>
        <v>173660</v>
      </c>
      <c r="H566" s="108">
        <f t="shared" si="168"/>
        <v>-1340</v>
      </c>
      <c r="I566" s="158">
        <f t="shared" si="169"/>
        <v>-7.6571428571428572E-3</v>
      </c>
      <c r="J566" s="108">
        <f t="shared" si="170"/>
        <v>-14465</v>
      </c>
      <c r="K566" s="158">
        <f t="shared" si="171"/>
        <v>-7.6890365448504985E-2</v>
      </c>
    </row>
    <row r="567" spans="1:11">
      <c r="A567" s="82" t="s">
        <v>69</v>
      </c>
      <c r="B567" s="118">
        <v>107275</v>
      </c>
      <c r="C567" s="21"/>
      <c r="D567" s="118">
        <v>-5000</v>
      </c>
      <c r="E567" s="118">
        <v>1200</v>
      </c>
      <c r="F567" s="118">
        <f t="shared" si="172"/>
        <v>103475</v>
      </c>
      <c r="G567" s="118">
        <v>103150</v>
      </c>
      <c r="H567" s="118">
        <f t="shared" si="168"/>
        <v>-4125</v>
      </c>
      <c r="I567" s="159">
        <f t="shared" si="169"/>
        <v>-3.845257515730599E-2</v>
      </c>
      <c r="J567" s="118">
        <f t="shared" si="170"/>
        <v>-325</v>
      </c>
      <c r="K567" s="159">
        <f t="shared" si="171"/>
        <v>-3.1408552790529115E-3</v>
      </c>
    </row>
    <row r="568" spans="1:11">
      <c r="A568" s="82" t="s">
        <v>70</v>
      </c>
      <c r="B568" s="118">
        <v>42390</v>
      </c>
      <c r="C568" s="21"/>
      <c r="D568" s="118"/>
      <c r="E568" s="118">
        <v>24000</v>
      </c>
      <c r="F568" s="118">
        <f t="shared" si="172"/>
        <v>66390</v>
      </c>
      <c r="G568" s="118">
        <v>55000</v>
      </c>
      <c r="H568" s="118">
        <f t="shared" si="168"/>
        <v>12610</v>
      </c>
      <c r="I568" s="159">
        <f t="shared" si="169"/>
        <v>0.29747581976881338</v>
      </c>
      <c r="J568" s="118">
        <f t="shared" si="170"/>
        <v>-11390</v>
      </c>
      <c r="K568" s="159">
        <f t="shared" si="171"/>
        <v>-0.17156198222623889</v>
      </c>
    </row>
    <row r="569" spans="1:11">
      <c r="A569" s="82" t="s">
        <v>206</v>
      </c>
      <c r="B569" s="118">
        <v>25335</v>
      </c>
      <c r="C569" s="21"/>
      <c r="D569" s="118">
        <v>-7500</v>
      </c>
      <c r="E569" s="118">
        <v>425</v>
      </c>
      <c r="F569" s="118">
        <f t="shared" si="172"/>
        <v>18260</v>
      </c>
      <c r="G569" s="118">
        <v>15510</v>
      </c>
      <c r="H569" s="118">
        <f t="shared" si="168"/>
        <v>-9825</v>
      </c>
      <c r="I569" s="159">
        <f t="shared" si="169"/>
        <v>-0.38780343398460626</v>
      </c>
      <c r="J569" s="118">
        <f t="shared" si="170"/>
        <v>-2750</v>
      </c>
      <c r="K569" s="159">
        <f t="shared" si="171"/>
        <v>-0.15060240963855423</v>
      </c>
    </row>
    <row r="570" spans="1:11">
      <c r="A570" s="111" t="s">
        <v>58</v>
      </c>
      <c r="B570" s="108">
        <f>B571+B572</f>
        <v>187060</v>
      </c>
      <c r="C570" s="21"/>
      <c r="D570" s="108">
        <f>D571+D572+D573</f>
        <v>32060</v>
      </c>
      <c r="E570" s="108">
        <f>E571+E572+E573</f>
        <v>77750</v>
      </c>
      <c r="F570" s="108">
        <f t="shared" si="172"/>
        <v>296870</v>
      </c>
      <c r="G570" s="108">
        <f>G571+G572+G573</f>
        <v>242600</v>
      </c>
      <c r="H570" s="108">
        <f t="shared" si="168"/>
        <v>55540</v>
      </c>
      <c r="I570" s="158">
        <f t="shared" si="169"/>
        <v>0.29691008232652627</v>
      </c>
      <c r="J570" s="108">
        <f t="shared" si="170"/>
        <v>-54270</v>
      </c>
      <c r="K570" s="158">
        <f t="shared" si="171"/>
        <v>-0.1828072893859265</v>
      </c>
    </row>
    <row r="571" spans="1:11">
      <c r="A571" s="83" t="s">
        <v>94</v>
      </c>
      <c r="B571" s="112">
        <v>78580</v>
      </c>
      <c r="C571" s="21"/>
      <c r="D571" s="118">
        <v>15400</v>
      </c>
      <c r="E571" s="118">
        <v>19690</v>
      </c>
      <c r="F571" s="112">
        <f t="shared" si="172"/>
        <v>113670</v>
      </c>
      <c r="G571" s="112">
        <v>93900</v>
      </c>
      <c r="H571" s="112">
        <f t="shared" si="168"/>
        <v>15320</v>
      </c>
      <c r="I571" s="186">
        <f t="shared" si="169"/>
        <v>0.1949605497582082</v>
      </c>
      <c r="J571" s="112">
        <f t="shared" si="170"/>
        <v>-19770</v>
      </c>
      <c r="K571" s="186">
        <f t="shared" si="171"/>
        <v>-0.17392451834257061</v>
      </c>
    </row>
    <row r="572" spans="1:11">
      <c r="A572" s="83" t="s">
        <v>83</v>
      </c>
      <c r="B572" s="112">
        <v>108480</v>
      </c>
      <c r="C572" s="21"/>
      <c r="D572" s="118">
        <v>14920</v>
      </c>
      <c r="E572" s="118">
        <v>57000</v>
      </c>
      <c r="F572" s="112">
        <f t="shared" si="172"/>
        <v>180400</v>
      </c>
      <c r="G572" s="112">
        <v>146200</v>
      </c>
      <c r="H572" s="112">
        <f t="shared" si="168"/>
        <v>37720</v>
      </c>
      <c r="I572" s="186">
        <f t="shared" si="169"/>
        <v>0.34771386430678464</v>
      </c>
      <c r="J572" s="112">
        <f t="shared" si="170"/>
        <v>-34200</v>
      </c>
      <c r="K572" s="186">
        <f t="shared" si="171"/>
        <v>-0.18957871396895787</v>
      </c>
    </row>
    <row r="573" spans="1:11">
      <c r="A573" s="83" t="s">
        <v>93</v>
      </c>
      <c r="B573" s="112"/>
      <c r="C573" s="21"/>
      <c r="D573" s="118">
        <v>1740</v>
      </c>
      <c r="E573" s="118">
        <v>1060</v>
      </c>
      <c r="F573" s="112">
        <f t="shared" si="172"/>
        <v>2800</v>
      </c>
      <c r="G573" s="112">
        <v>2500</v>
      </c>
      <c r="H573" s="112">
        <f t="shared" si="168"/>
        <v>2500</v>
      </c>
      <c r="I573" s="186"/>
      <c r="J573" s="112">
        <f t="shared" si="170"/>
        <v>-300</v>
      </c>
      <c r="K573" s="186">
        <f t="shared" si="171"/>
        <v>-0.10714285714285714</v>
      </c>
    </row>
    <row r="574" spans="1:11">
      <c r="A574" s="111" t="s">
        <v>52</v>
      </c>
      <c r="B574" s="108">
        <f>B575+B576</f>
        <v>180150</v>
      </c>
      <c r="C574" s="21"/>
      <c r="D574" s="108">
        <f>D575</f>
        <v>15000</v>
      </c>
      <c r="E574" s="108">
        <f>E575</f>
        <v>22000</v>
      </c>
      <c r="F574" s="108">
        <f t="shared" si="172"/>
        <v>217150</v>
      </c>
      <c r="G574" s="108">
        <f>G575+G576</f>
        <v>195150</v>
      </c>
      <c r="H574" s="108">
        <f t="shared" ref="H574:H637" si="186">G574-B574</f>
        <v>15000</v>
      </c>
      <c r="I574" s="158">
        <f t="shared" ref="I574:I637" si="187">H574/B574</f>
        <v>8.3263946711074108E-2</v>
      </c>
      <c r="J574" s="108">
        <f t="shared" ref="J574:J637" si="188">G574-F574</f>
        <v>-22000</v>
      </c>
      <c r="K574" s="158">
        <f t="shared" ref="K574:K637" si="189">IF(G574=0,"",J574/F574)</f>
        <v>-0.10131245682707805</v>
      </c>
    </row>
    <row r="575" spans="1:11">
      <c r="A575" s="82" t="s">
        <v>92</v>
      </c>
      <c r="B575" s="118">
        <v>180000</v>
      </c>
      <c r="C575" s="21"/>
      <c r="D575" s="118">
        <v>15000</v>
      </c>
      <c r="E575" s="118">
        <v>22000</v>
      </c>
      <c r="F575" s="118">
        <f t="shared" si="172"/>
        <v>217000</v>
      </c>
      <c r="G575" s="118">
        <v>195000</v>
      </c>
      <c r="H575" s="118">
        <f t="shared" si="186"/>
        <v>15000</v>
      </c>
      <c r="I575" s="159">
        <f t="shared" si="187"/>
        <v>8.3333333333333329E-2</v>
      </c>
      <c r="J575" s="118">
        <f t="shared" si="188"/>
        <v>-22000</v>
      </c>
      <c r="K575" s="159">
        <f t="shared" si="189"/>
        <v>-0.10138248847926268</v>
      </c>
    </row>
    <row r="576" spans="1:11" ht="26.4">
      <c r="A576" s="83" t="s">
        <v>734</v>
      </c>
      <c r="B576" s="112">
        <v>150</v>
      </c>
      <c r="C576" s="21"/>
      <c r="D576" s="118"/>
      <c r="E576" s="118"/>
      <c r="F576" s="112">
        <f t="shared" si="172"/>
        <v>150</v>
      </c>
      <c r="G576" s="118">
        <v>150</v>
      </c>
      <c r="H576" s="112">
        <f t="shared" si="186"/>
        <v>0</v>
      </c>
      <c r="I576" s="186">
        <f t="shared" si="187"/>
        <v>0</v>
      </c>
      <c r="J576" s="112">
        <f t="shared" si="188"/>
        <v>0</v>
      </c>
      <c r="K576" s="186">
        <f t="shared" si="189"/>
        <v>0</v>
      </c>
    </row>
    <row r="577" spans="1:11">
      <c r="A577" s="83"/>
      <c r="B577" s="112"/>
      <c r="C577" s="21"/>
      <c r="D577" s="118"/>
      <c r="E577" s="118"/>
      <c r="F577" s="112">
        <f t="shared" si="172"/>
        <v>0</v>
      </c>
      <c r="G577" s="254"/>
      <c r="H577" s="112">
        <f t="shared" si="186"/>
        <v>0</v>
      </c>
      <c r="I577" s="186"/>
      <c r="J577" s="112">
        <f t="shared" si="188"/>
        <v>0</v>
      </c>
      <c r="K577" s="186" t="str">
        <f t="shared" si="189"/>
        <v/>
      </c>
    </row>
    <row r="578" spans="1:11">
      <c r="A578" s="119" t="s">
        <v>769</v>
      </c>
      <c r="B578" s="120">
        <f>B579+B581</f>
        <v>166500</v>
      </c>
      <c r="C578" s="21"/>
      <c r="D578" s="108">
        <f>D581</f>
        <v>0</v>
      </c>
      <c r="E578" s="108">
        <f>E579+E581</f>
        <v>18000</v>
      </c>
      <c r="F578" s="120">
        <f t="shared" si="172"/>
        <v>184500</v>
      </c>
      <c r="G578" s="108">
        <f>G579+G581</f>
        <v>172690</v>
      </c>
      <c r="H578" s="120">
        <f t="shared" si="186"/>
        <v>6190</v>
      </c>
      <c r="I578" s="187">
        <f t="shared" si="187"/>
        <v>3.7177177177177174E-2</v>
      </c>
      <c r="J578" s="120">
        <f t="shared" si="188"/>
        <v>-11810</v>
      </c>
      <c r="K578" s="187">
        <f t="shared" si="189"/>
        <v>-6.4010840108401079E-2</v>
      </c>
    </row>
    <row r="579" spans="1:11">
      <c r="A579" s="111" t="s">
        <v>56</v>
      </c>
      <c r="B579" s="108">
        <f>B580</f>
        <v>98240</v>
      </c>
      <c r="C579" s="21"/>
      <c r="D579" s="108"/>
      <c r="E579" s="108">
        <f>E580</f>
        <v>14000</v>
      </c>
      <c r="F579" s="108">
        <f t="shared" si="172"/>
        <v>112240</v>
      </c>
      <c r="G579" s="108">
        <f>G580</f>
        <v>98240</v>
      </c>
      <c r="H579" s="108">
        <f t="shared" si="186"/>
        <v>0</v>
      </c>
      <c r="I579" s="158">
        <f t="shared" si="187"/>
        <v>0</v>
      </c>
      <c r="J579" s="108">
        <f t="shared" si="188"/>
        <v>-14000</v>
      </c>
      <c r="K579" s="158">
        <f t="shared" si="189"/>
        <v>-0.12473271560940841</v>
      </c>
    </row>
    <row r="580" spans="1:11">
      <c r="A580" s="82" t="s">
        <v>85</v>
      </c>
      <c r="B580" s="118">
        <v>98240</v>
      </c>
      <c r="C580" s="21"/>
      <c r="D580" s="108"/>
      <c r="E580" s="166">
        <v>14000</v>
      </c>
      <c r="F580" s="118">
        <f t="shared" si="172"/>
        <v>112240</v>
      </c>
      <c r="G580" s="118">
        <v>98240</v>
      </c>
      <c r="H580" s="118">
        <f t="shared" si="186"/>
        <v>0</v>
      </c>
      <c r="I580" s="159">
        <f t="shared" si="187"/>
        <v>0</v>
      </c>
      <c r="J580" s="118">
        <f t="shared" si="188"/>
        <v>-14000</v>
      </c>
      <c r="K580" s="159">
        <f t="shared" si="189"/>
        <v>-0.12473271560940841</v>
      </c>
    </row>
    <row r="581" spans="1:11">
      <c r="A581" s="111" t="s">
        <v>51</v>
      </c>
      <c r="B581" s="108">
        <f>B582+B583</f>
        <v>68260</v>
      </c>
      <c r="C581" s="21"/>
      <c r="D581" s="108">
        <f>D582+D583</f>
        <v>0</v>
      </c>
      <c r="E581" s="108">
        <f>E582+E583</f>
        <v>4000</v>
      </c>
      <c r="F581" s="108">
        <f t="shared" si="172"/>
        <v>72260</v>
      </c>
      <c r="G581" s="108">
        <f>G582+G583</f>
        <v>74450</v>
      </c>
      <c r="H581" s="108">
        <f t="shared" si="186"/>
        <v>6190</v>
      </c>
      <c r="I581" s="158">
        <f t="shared" si="187"/>
        <v>9.0682683855845297E-2</v>
      </c>
      <c r="J581" s="108">
        <f t="shared" si="188"/>
        <v>2190</v>
      </c>
      <c r="K581" s="158">
        <f t="shared" si="189"/>
        <v>3.0307223913645171E-2</v>
      </c>
    </row>
    <row r="582" spans="1:11">
      <c r="A582" s="82" t="s">
        <v>69</v>
      </c>
      <c r="B582" s="118">
        <v>54160</v>
      </c>
      <c r="C582" s="21"/>
      <c r="D582" s="118">
        <v>-2000</v>
      </c>
      <c r="E582" s="118">
        <v>1800</v>
      </c>
      <c r="F582" s="118">
        <f t="shared" si="172"/>
        <v>53960</v>
      </c>
      <c r="G582" s="118">
        <v>57450</v>
      </c>
      <c r="H582" s="118">
        <f t="shared" si="186"/>
        <v>3290</v>
      </c>
      <c r="I582" s="159">
        <f t="shared" si="187"/>
        <v>6.0745937961595275E-2</v>
      </c>
      <c r="J582" s="118">
        <f t="shared" si="188"/>
        <v>3490</v>
      </c>
      <c r="K582" s="159">
        <f t="shared" si="189"/>
        <v>6.4677538917716826E-2</v>
      </c>
    </row>
    <row r="583" spans="1:11">
      <c r="A583" s="82" t="s">
        <v>70</v>
      </c>
      <c r="B583" s="118">
        <v>14100</v>
      </c>
      <c r="C583" s="21"/>
      <c r="D583" s="118">
        <v>2000</v>
      </c>
      <c r="E583" s="118">
        <v>2200</v>
      </c>
      <c r="F583" s="118">
        <f t="shared" ref="F583:F646" si="190">SUM(B583:E583)</f>
        <v>18300</v>
      </c>
      <c r="G583" s="118">
        <v>17000</v>
      </c>
      <c r="H583" s="118">
        <f t="shared" si="186"/>
        <v>2900</v>
      </c>
      <c r="I583" s="159">
        <f t="shared" si="187"/>
        <v>0.20567375886524822</v>
      </c>
      <c r="J583" s="118">
        <f t="shared" si="188"/>
        <v>-1300</v>
      </c>
      <c r="K583" s="159">
        <f t="shared" si="189"/>
        <v>-7.1038251366120214E-2</v>
      </c>
    </row>
    <row r="584" spans="1:11">
      <c r="A584" s="82"/>
      <c r="B584" s="118"/>
      <c r="C584" s="21"/>
      <c r="D584" s="118"/>
      <c r="E584" s="118"/>
      <c r="F584" s="118">
        <f t="shared" si="190"/>
        <v>0</v>
      </c>
      <c r="G584" s="254"/>
      <c r="H584" s="118">
        <f t="shared" si="186"/>
        <v>0</v>
      </c>
      <c r="I584" s="159"/>
      <c r="J584" s="118">
        <f t="shared" si="188"/>
        <v>0</v>
      </c>
      <c r="K584" s="159" t="str">
        <f t="shared" si="189"/>
        <v/>
      </c>
    </row>
    <row r="585" spans="1:11">
      <c r="A585" s="111" t="s">
        <v>770</v>
      </c>
      <c r="B585" s="108">
        <f>B586+B590</f>
        <v>130000</v>
      </c>
      <c r="C585" s="21"/>
      <c r="D585" s="108">
        <f>D590</f>
        <v>-2400</v>
      </c>
      <c r="E585" s="108">
        <f>E586+E590</f>
        <v>9000</v>
      </c>
      <c r="F585" s="108">
        <f t="shared" si="190"/>
        <v>136600</v>
      </c>
      <c r="G585" s="108">
        <f>+G586+G590</f>
        <v>137000</v>
      </c>
      <c r="H585" s="108">
        <f t="shared" si="186"/>
        <v>7000</v>
      </c>
      <c r="I585" s="158">
        <f t="shared" si="187"/>
        <v>5.3846153846153849E-2</v>
      </c>
      <c r="J585" s="108">
        <f t="shared" si="188"/>
        <v>400</v>
      </c>
      <c r="K585" s="158">
        <f t="shared" si="189"/>
        <v>2.9282576866764276E-3</v>
      </c>
    </row>
    <row r="586" spans="1:11">
      <c r="A586" s="111" t="s">
        <v>55</v>
      </c>
      <c r="B586" s="108">
        <f>B587+B588+B589</f>
        <v>70000</v>
      </c>
      <c r="C586" s="21"/>
      <c r="D586" s="108"/>
      <c r="E586" s="108">
        <f>E587+E588+E589</f>
        <v>2000</v>
      </c>
      <c r="F586" s="108">
        <f t="shared" si="190"/>
        <v>72000</v>
      </c>
      <c r="G586" s="108">
        <v>70000</v>
      </c>
      <c r="H586" s="108">
        <f t="shared" si="186"/>
        <v>0</v>
      </c>
      <c r="I586" s="158">
        <f t="shared" si="187"/>
        <v>0</v>
      </c>
      <c r="J586" s="108">
        <f t="shared" si="188"/>
        <v>-2000</v>
      </c>
      <c r="K586" s="158">
        <f t="shared" si="189"/>
        <v>-2.7777777777777776E-2</v>
      </c>
    </row>
    <row r="587" spans="1:11">
      <c r="A587" s="82" t="s">
        <v>77</v>
      </c>
      <c r="B587" s="118">
        <v>5000</v>
      </c>
      <c r="C587" s="21"/>
      <c r="D587" s="108"/>
      <c r="E587" s="166">
        <v>2000</v>
      </c>
      <c r="F587" s="118">
        <f t="shared" si="190"/>
        <v>7000</v>
      </c>
      <c r="G587" s="118">
        <v>5000</v>
      </c>
      <c r="H587" s="118">
        <f t="shared" si="186"/>
        <v>0</v>
      </c>
      <c r="I587" s="159">
        <f t="shared" si="187"/>
        <v>0</v>
      </c>
      <c r="J587" s="118">
        <f t="shared" si="188"/>
        <v>-2000</v>
      </c>
      <c r="K587" s="159">
        <f t="shared" si="189"/>
        <v>-0.2857142857142857</v>
      </c>
    </row>
    <row r="588" spans="1:11">
      <c r="A588" s="83" t="s">
        <v>82</v>
      </c>
      <c r="B588" s="112">
        <v>55000</v>
      </c>
      <c r="C588" s="21"/>
      <c r="D588" s="108"/>
      <c r="E588" s="108"/>
      <c r="F588" s="112">
        <f t="shared" si="190"/>
        <v>55000</v>
      </c>
      <c r="G588" s="112">
        <v>55000</v>
      </c>
      <c r="H588" s="112">
        <f t="shared" si="186"/>
        <v>0</v>
      </c>
      <c r="I588" s="186">
        <f t="shared" si="187"/>
        <v>0</v>
      </c>
      <c r="J588" s="112">
        <f t="shared" si="188"/>
        <v>0</v>
      </c>
      <c r="K588" s="186">
        <f t="shared" si="189"/>
        <v>0</v>
      </c>
    </row>
    <row r="589" spans="1:11">
      <c r="A589" s="83" t="s">
        <v>76</v>
      </c>
      <c r="B589" s="112">
        <v>10000</v>
      </c>
      <c r="C589" s="21"/>
      <c r="D589" s="108"/>
      <c r="E589" s="108"/>
      <c r="F589" s="112">
        <f t="shared" si="190"/>
        <v>10000</v>
      </c>
      <c r="G589" s="112">
        <v>10000</v>
      </c>
      <c r="H589" s="112">
        <f t="shared" si="186"/>
        <v>0</v>
      </c>
      <c r="I589" s="186">
        <f t="shared" si="187"/>
        <v>0</v>
      </c>
      <c r="J589" s="112">
        <f t="shared" si="188"/>
        <v>0</v>
      </c>
      <c r="K589" s="186">
        <f t="shared" si="189"/>
        <v>0</v>
      </c>
    </row>
    <row r="590" spans="1:11">
      <c r="A590" s="111" t="s">
        <v>51</v>
      </c>
      <c r="B590" s="108">
        <f>B591+B592</f>
        <v>60000</v>
      </c>
      <c r="C590" s="21"/>
      <c r="D590" s="108">
        <f>D591+D592</f>
        <v>-2400</v>
      </c>
      <c r="E590" s="108">
        <f>E591+E592</f>
        <v>7000</v>
      </c>
      <c r="F590" s="108">
        <f t="shared" si="190"/>
        <v>64600</v>
      </c>
      <c r="G590" s="108">
        <f>G591+G592</f>
        <v>67000</v>
      </c>
      <c r="H590" s="108">
        <f t="shared" si="186"/>
        <v>7000</v>
      </c>
      <c r="I590" s="158">
        <f t="shared" si="187"/>
        <v>0.11666666666666667</v>
      </c>
      <c r="J590" s="108">
        <f t="shared" si="188"/>
        <v>2400</v>
      </c>
      <c r="K590" s="158">
        <f t="shared" si="189"/>
        <v>3.7151702786377708E-2</v>
      </c>
    </row>
    <row r="591" spans="1:11">
      <c r="A591" s="82" t="s">
        <v>69</v>
      </c>
      <c r="B591" s="118">
        <v>48000</v>
      </c>
      <c r="C591" s="21"/>
      <c r="D591" s="118">
        <v>-4400</v>
      </c>
      <c r="E591" s="118"/>
      <c r="F591" s="118">
        <f t="shared" si="190"/>
        <v>43600</v>
      </c>
      <c r="G591" s="118">
        <v>46625</v>
      </c>
      <c r="H591" s="118">
        <f t="shared" si="186"/>
        <v>-1375</v>
      </c>
      <c r="I591" s="159">
        <f t="shared" si="187"/>
        <v>-2.8645833333333332E-2</v>
      </c>
      <c r="J591" s="118">
        <f t="shared" si="188"/>
        <v>3025</v>
      </c>
      <c r="K591" s="159">
        <f t="shared" si="189"/>
        <v>6.9380733944954129E-2</v>
      </c>
    </row>
    <row r="592" spans="1:11">
      <c r="A592" s="82" t="s">
        <v>70</v>
      </c>
      <c r="B592" s="118">
        <v>12000</v>
      </c>
      <c r="C592" s="21"/>
      <c r="D592" s="118">
        <v>2000</v>
      </c>
      <c r="E592" s="118">
        <v>7000</v>
      </c>
      <c r="F592" s="118">
        <f t="shared" si="190"/>
        <v>21000</v>
      </c>
      <c r="G592" s="118">
        <v>20375</v>
      </c>
      <c r="H592" s="118">
        <f t="shared" si="186"/>
        <v>8375</v>
      </c>
      <c r="I592" s="159">
        <f t="shared" si="187"/>
        <v>0.69791666666666663</v>
      </c>
      <c r="J592" s="118">
        <f t="shared" si="188"/>
        <v>-625</v>
      </c>
      <c r="K592" s="159">
        <f t="shared" si="189"/>
        <v>-2.976190476190476E-2</v>
      </c>
    </row>
    <row r="593" spans="1:11">
      <c r="A593" s="82"/>
      <c r="B593" s="118"/>
      <c r="C593" s="21"/>
      <c r="D593" s="118"/>
      <c r="E593" s="118"/>
      <c r="F593" s="118">
        <f t="shared" si="190"/>
        <v>0</v>
      </c>
      <c r="G593" s="254"/>
      <c r="H593" s="118">
        <f t="shared" si="186"/>
        <v>0</v>
      </c>
      <c r="I593" s="159"/>
      <c r="J593" s="118">
        <f t="shared" si="188"/>
        <v>0</v>
      </c>
      <c r="K593" s="159" t="str">
        <f t="shared" si="189"/>
        <v/>
      </c>
    </row>
    <row r="594" spans="1:11">
      <c r="A594" s="111" t="s">
        <v>771</v>
      </c>
      <c r="B594" s="108">
        <f>B595</f>
        <v>25700</v>
      </c>
      <c r="C594" s="21"/>
      <c r="D594" s="118"/>
      <c r="E594" s="118">
        <f>E595</f>
        <v>-4240</v>
      </c>
      <c r="F594" s="108">
        <f t="shared" si="190"/>
        <v>21460</v>
      </c>
      <c r="G594" s="108">
        <f>G595</f>
        <v>27500</v>
      </c>
      <c r="H594" s="108">
        <f t="shared" si="186"/>
        <v>1800</v>
      </c>
      <c r="I594" s="158">
        <f t="shared" si="187"/>
        <v>7.0038910505836577E-2</v>
      </c>
      <c r="J594" s="108">
        <f t="shared" si="188"/>
        <v>6040</v>
      </c>
      <c r="K594" s="158">
        <f t="shared" si="189"/>
        <v>0.28145386766076419</v>
      </c>
    </row>
    <row r="595" spans="1:11">
      <c r="A595" s="111" t="s">
        <v>61</v>
      </c>
      <c r="B595" s="108">
        <f>B598+B597+B596</f>
        <v>25700</v>
      </c>
      <c r="C595" s="21"/>
      <c r="D595" s="118"/>
      <c r="E595" s="118">
        <f>E596+E597+E598</f>
        <v>-4240</v>
      </c>
      <c r="F595" s="108">
        <f t="shared" si="190"/>
        <v>21460</v>
      </c>
      <c r="G595" s="141">
        <f>SUM(G596:G598)</f>
        <v>27500</v>
      </c>
      <c r="H595" s="108">
        <f t="shared" si="186"/>
        <v>1800</v>
      </c>
      <c r="I595" s="158">
        <f t="shared" si="187"/>
        <v>7.0038910505836577E-2</v>
      </c>
      <c r="J595" s="108">
        <f t="shared" si="188"/>
        <v>6040</v>
      </c>
      <c r="K595" s="158">
        <f t="shared" si="189"/>
        <v>0.28145386766076419</v>
      </c>
    </row>
    <row r="596" spans="1:11">
      <c r="A596" s="82" t="s">
        <v>95</v>
      </c>
      <c r="B596" s="118">
        <v>18000</v>
      </c>
      <c r="C596" s="21"/>
      <c r="D596" s="118"/>
      <c r="E596" s="118">
        <v>-3000</v>
      </c>
      <c r="F596" s="118">
        <f t="shared" si="190"/>
        <v>15000</v>
      </c>
      <c r="G596" s="143">
        <v>17000</v>
      </c>
      <c r="H596" s="118">
        <f t="shared" si="186"/>
        <v>-1000</v>
      </c>
      <c r="I596" s="159">
        <f t="shared" si="187"/>
        <v>-5.5555555555555552E-2</v>
      </c>
      <c r="J596" s="118">
        <f t="shared" si="188"/>
        <v>2000</v>
      </c>
      <c r="K596" s="159">
        <f t="shared" si="189"/>
        <v>0.13333333333333333</v>
      </c>
    </row>
    <row r="597" spans="1:11">
      <c r="A597" s="83" t="s">
        <v>75</v>
      </c>
      <c r="B597" s="112">
        <v>7000</v>
      </c>
      <c r="C597" s="21"/>
      <c r="D597" s="118"/>
      <c r="E597" s="118">
        <v>-2000</v>
      </c>
      <c r="F597" s="112">
        <f t="shared" si="190"/>
        <v>5000</v>
      </c>
      <c r="G597" s="143">
        <v>8000</v>
      </c>
      <c r="H597" s="112">
        <f t="shared" si="186"/>
        <v>1000</v>
      </c>
      <c r="I597" s="186">
        <f t="shared" si="187"/>
        <v>0.14285714285714285</v>
      </c>
      <c r="J597" s="112">
        <f t="shared" si="188"/>
        <v>3000</v>
      </c>
      <c r="K597" s="186">
        <f t="shared" si="189"/>
        <v>0.6</v>
      </c>
    </row>
    <row r="598" spans="1:11">
      <c r="A598" s="83" t="s">
        <v>97</v>
      </c>
      <c r="B598" s="112">
        <v>700</v>
      </c>
      <c r="C598" s="21"/>
      <c r="D598" s="118"/>
      <c r="E598" s="118">
        <v>760</v>
      </c>
      <c r="F598" s="112">
        <f t="shared" si="190"/>
        <v>1460</v>
      </c>
      <c r="G598" s="143">
        <v>2500</v>
      </c>
      <c r="H598" s="112">
        <f t="shared" si="186"/>
        <v>1800</v>
      </c>
      <c r="I598" s="186">
        <f t="shared" si="187"/>
        <v>2.5714285714285716</v>
      </c>
      <c r="J598" s="112">
        <f t="shared" si="188"/>
        <v>1040</v>
      </c>
      <c r="K598" s="186">
        <f t="shared" si="189"/>
        <v>0.71232876712328763</v>
      </c>
    </row>
    <row r="599" spans="1:11">
      <c r="A599" s="82"/>
      <c r="B599" s="118"/>
      <c r="C599" s="21"/>
      <c r="D599" s="118"/>
      <c r="E599" s="118"/>
      <c r="F599" s="118">
        <f t="shared" si="190"/>
        <v>0</v>
      </c>
      <c r="G599" s="254"/>
      <c r="H599" s="118">
        <f t="shared" si="186"/>
        <v>0</v>
      </c>
      <c r="I599" s="159"/>
      <c r="J599" s="118">
        <f t="shared" si="188"/>
        <v>0</v>
      </c>
      <c r="K599" s="159" t="str">
        <f t="shared" si="189"/>
        <v/>
      </c>
    </row>
    <row r="600" spans="1:11">
      <c r="A600" s="111" t="s">
        <v>772</v>
      </c>
      <c r="B600" s="108">
        <f>B601</f>
        <v>4000</v>
      </c>
      <c r="C600" s="21"/>
      <c r="D600" s="108">
        <f>D601</f>
        <v>0</v>
      </c>
      <c r="E600" s="108">
        <f>E601</f>
        <v>2330</v>
      </c>
      <c r="F600" s="108">
        <f t="shared" si="190"/>
        <v>6330</v>
      </c>
      <c r="G600" s="108">
        <f>G601</f>
        <v>5300</v>
      </c>
      <c r="H600" s="108">
        <f t="shared" si="186"/>
        <v>1300</v>
      </c>
      <c r="I600" s="158">
        <f t="shared" si="187"/>
        <v>0.32500000000000001</v>
      </c>
      <c r="J600" s="108">
        <f t="shared" si="188"/>
        <v>-1030</v>
      </c>
      <c r="K600" s="158">
        <f t="shared" si="189"/>
        <v>-0.1627172195892575</v>
      </c>
    </row>
    <row r="601" spans="1:11">
      <c r="A601" s="111" t="s">
        <v>56</v>
      </c>
      <c r="B601" s="108">
        <f>B602+B603+B604</f>
        <v>4000</v>
      </c>
      <c r="C601" s="21"/>
      <c r="D601" s="108">
        <f>D602+D603+D604</f>
        <v>0</v>
      </c>
      <c r="E601" s="108">
        <f>E602+E603+E604</f>
        <v>2330</v>
      </c>
      <c r="F601" s="108">
        <f t="shared" si="190"/>
        <v>6330</v>
      </c>
      <c r="G601" s="108">
        <f>G602+G603+G604</f>
        <v>5300</v>
      </c>
      <c r="H601" s="108">
        <f t="shared" si="186"/>
        <v>1300</v>
      </c>
      <c r="I601" s="158">
        <f t="shared" si="187"/>
        <v>0.32500000000000001</v>
      </c>
      <c r="J601" s="108">
        <f t="shared" si="188"/>
        <v>-1030</v>
      </c>
      <c r="K601" s="158">
        <f t="shared" si="189"/>
        <v>-0.1627172195892575</v>
      </c>
    </row>
    <row r="602" spans="1:11">
      <c r="A602" s="83" t="s">
        <v>75</v>
      </c>
      <c r="B602" s="112">
        <v>1500</v>
      </c>
      <c r="C602" s="21"/>
      <c r="D602" s="118">
        <v>-900</v>
      </c>
      <c r="E602" s="118">
        <v>600</v>
      </c>
      <c r="F602" s="112">
        <f t="shared" si="190"/>
        <v>1200</v>
      </c>
      <c r="G602" s="118">
        <v>1000</v>
      </c>
      <c r="H602" s="112">
        <f t="shared" si="186"/>
        <v>-500</v>
      </c>
      <c r="I602" s="186">
        <f t="shared" si="187"/>
        <v>-0.33333333333333331</v>
      </c>
      <c r="J602" s="112">
        <f t="shared" si="188"/>
        <v>-200</v>
      </c>
      <c r="K602" s="186">
        <f t="shared" si="189"/>
        <v>-0.16666666666666666</v>
      </c>
    </row>
    <row r="603" spans="1:11">
      <c r="A603" s="83" t="s">
        <v>208</v>
      </c>
      <c r="B603" s="112">
        <v>1500</v>
      </c>
      <c r="C603" s="21"/>
      <c r="D603" s="118">
        <v>1400</v>
      </c>
      <c r="E603" s="118">
        <v>2230</v>
      </c>
      <c r="F603" s="112">
        <f t="shared" si="190"/>
        <v>5130</v>
      </c>
      <c r="G603" s="118">
        <v>3800</v>
      </c>
      <c r="H603" s="112">
        <f t="shared" si="186"/>
        <v>2300</v>
      </c>
      <c r="I603" s="186">
        <f t="shared" si="187"/>
        <v>1.5333333333333334</v>
      </c>
      <c r="J603" s="112">
        <f t="shared" si="188"/>
        <v>-1330</v>
      </c>
      <c r="K603" s="186">
        <f t="shared" si="189"/>
        <v>-0.25925925925925924</v>
      </c>
    </row>
    <row r="604" spans="1:11">
      <c r="A604" s="83" t="s">
        <v>79</v>
      </c>
      <c r="B604" s="112">
        <v>1000</v>
      </c>
      <c r="C604" s="21"/>
      <c r="D604" s="118">
        <v>-500</v>
      </c>
      <c r="E604" s="118">
        <v>-500</v>
      </c>
      <c r="F604" s="112">
        <f t="shared" si="190"/>
        <v>0</v>
      </c>
      <c r="G604" s="118">
        <v>500</v>
      </c>
      <c r="H604" s="112">
        <f t="shared" si="186"/>
        <v>-500</v>
      </c>
      <c r="I604" s="186">
        <f t="shared" si="187"/>
        <v>-0.5</v>
      </c>
      <c r="J604" s="112">
        <f t="shared" si="188"/>
        <v>500</v>
      </c>
      <c r="K604" s="186"/>
    </row>
    <row r="605" spans="1:11">
      <c r="A605" s="83"/>
      <c r="B605" s="112"/>
      <c r="C605" s="21"/>
      <c r="D605" s="118"/>
      <c r="E605" s="118"/>
      <c r="F605" s="112">
        <f t="shared" si="190"/>
        <v>0</v>
      </c>
      <c r="G605" s="254"/>
      <c r="H605" s="112">
        <f t="shared" si="186"/>
        <v>0</v>
      </c>
      <c r="I605" s="186"/>
      <c r="J605" s="112">
        <f t="shared" si="188"/>
        <v>0</v>
      </c>
      <c r="K605" s="186" t="str">
        <f t="shared" si="189"/>
        <v/>
      </c>
    </row>
    <row r="606" spans="1:11">
      <c r="A606" s="111" t="s">
        <v>773</v>
      </c>
      <c r="B606" s="108">
        <f>B610+B607</f>
        <v>47455</v>
      </c>
      <c r="C606" s="21"/>
      <c r="D606" s="118"/>
      <c r="E606" s="118">
        <f>E607+E610</f>
        <v>4275</v>
      </c>
      <c r="F606" s="108">
        <f t="shared" si="190"/>
        <v>51730</v>
      </c>
      <c r="G606" s="108">
        <f>G610+G607</f>
        <v>52045</v>
      </c>
      <c r="H606" s="108">
        <f t="shared" si="186"/>
        <v>4590</v>
      </c>
      <c r="I606" s="158">
        <f t="shared" si="187"/>
        <v>9.6723211463491734E-2</v>
      </c>
      <c r="J606" s="108">
        <f t="shared" si="188"/>
        <v>315</v>
      </c>
      <c r="K606" s="158">
        <f t="shared" si="189"/>
        <v>6.0893098782138022E-3</v>
      </c>
    </row>
    <row r="607" spans="1:11">
      <c r="A607" s="111" t="s">
        <v>51</v>
      </c>
      <c r="B607" s="108">
        <f>B608+B609</f>
        <v>1455</v>
      </c>
      <c r="C607" s="21"/>
      <c r="D607" s="118"/>
      <c r="E607" s="118">
        <f>E608+E609</f>
        <v>175</v>
      </c>
      <c r="F607" s="108">
        <f t="shared" si="190"/>
        <v>1630</v>
      </c>
      <c r="G607" s="108">
        <f>G608+G609</f>
        <v>2045</v>
      </c>
      <c r="H607" s="108">
        <f t="shared" si="186"/>
        <v>590</v>
      </c>
      <c r="I607" s="158">
        <f t="shared" si="187"/>
        <v>0.40549828178694158</v>
      </c>
      <c r="J607" s="108">
        <f t="shared" si="188"/>
        <v>415</v>
      </c>
      <c r="K607" s="158">
        <f t="shared" si="189"/>
        <v>0.254601226993865</v>
      </c>
    </row>
    <row r="608" spans="1:11">
      <c r="A608" s="82" t="s">
        <v>69</v>
      </c>
      <c r="B608" s="118">
        <v>1230</v>
      </c>
      <c r="C608" s="21"/>
      <c r="D608" s="118"/>
      <c r="E608" s="118">
        <v>-160</v>
      </c>
      <c r="F608" s="118">
        <f t="shared" si="190"/>
        <v>1070</v>
      </c>
      <c r="G608" s="118">
        <v>1245</v>
      </c>
      <c r="H608" s="118">
        <f t="shared" si="186"/>
        <v>15</v>
      </c>
      <c r="I608" s="159">
        <f t="shared" si="187"/>
        <v>1.2195121951219513E-2</v>
      </c>
      <c r="J608" s="118">
        <f t="shared" si="188"/>
        <v>175</v>
      </c>
      <c r="K608" s="159">
        <f t="shared" si="189"/>
        <v>0.16355140186915887</v>
      </c>
    </row>
    <row r="609" spans="1:11">
      <c r="A609" s="82" t="s">
        <v>70</v>
      </c>
      <c r="B609" s="118">
        <v>225</v>
      </c>
      <c r="C609" s="21"/>
      <c r="D609" s="118"/>
      <c r="E609" s="118">
        <v>335</v>
      </c>
      <c r="F609" s="118">
        <f t="shared" si="190"/>
        <v>560</v>
      </c>
      <c r="G609" s="118">
        <v>800</v>
      </c>
      <c r="H609" s="118">
        <f t="shared" si="186"/>
        <v>575</v>
      </c>
      <c r="I609" s="159">
        <f t="shared" si="187"/>
        <v>2.5555555555555554</v>
      </c>
      <c r="J609" s="118">
        <f t="shared" si="188"/>
        <v>240</v>
      </c>
      <c r="K609" s="159">
        <f t="shared" si="189"/>
        <v>0.42857142857142855</v>
      </c>
    </row>
    <row r="610" spans="1:11">
      <c r="A610" s="119" t="s">
        <v>52</v>
      </c>
      <c r="B610" s="120">
        <f>B611</f>
        <v>46000</v>
      </c>
      <c r="C610" s="21"/>
      <c r="D610" s="118"/>
      <c r="E610" s="118">
        <f>E611</f>
        <v>4100</v>
      </c>
      <c r="F610" s="120">
        <f t="shared" si="190"/>
        <v>50100</v>
      </c>
      <c r="G610" s="120">
        <f>G611</f>
        <v>50000</v>
      </c>
      <c r="H610" s="120">
        <f t="shared" si="186"/>
        <v>4000</v>
      </c>
      <c r="I610" s="187">
        <f t="shared" si="187"/>
        <v>8.6956521739130432E-2</v>
      </c>
      <c r="J610" s="120">
        <f t="shared" si="188"/>
        <v>-100</v>
      </c>
      <c r="K610" s="187">
        <f t="shared" si="189"/>
        <v>-1.996007984031936E-3</v>
      </c>
    </row>
    <row r="611" spans="1:11">
      <c r="A611" s="82" t="s">
        <v>77</v>
      </c>
      <c r="B611" s="118">
        <v>46000</v>
      </c>
      <c r="C611" s="21"/>
      <c r="D611" s="118"/>
      <c r="E611" s="118">
        <v>4100</v>
      </c>
      <c r="F611" s="118">
        <f t="shared" si="190"/>
        <v>50100</v>
      </c>
      <c r="G611" s="118">
        <v>50000</v>
      </c>
      <c r="H611" s="118">
        <f t="shared" si="186"/>
        <v>4000</v>
      </c>
      <c r="I611" s="159">
        <f t="shared" si="187"/>
        <v>8.6956521739130432E-2</v>
      </c>
      <c r="J611" s="118">
        <f t="shared" si="188"/>
        <v>-100</v>
      </c>
      <c r="K611" s="159">
        <f t="shared" si="189"/>
        <v>-1.996007984031936E-3</v>
      </c>
    </row>
    <row r="612" spans="1:11">
      <c r="A612" s="82"/>
      <c r="B612" s="118"/>
      <c r="C612" s="21"/>
      <c r="D612" s="118"/>
      <c r="E612" s="118"/>
      <c r="F612" s="118">
        <f t="shared" si="190"/>
        <v>0</v>
      </c>
      <c r="G612" s="254"/>
      <c r="H612" s="118">
        <f t="shared" si="186"/>
        <v>0</v>
      </c>
      <c r="I612" s="159"/>
      <c r="J612" s="118">
        <f t="shared" si="188"/>
        <v>0</v>
      </c>
      <c r="K612" s="159" t="str">
        <f t="shared" si="189"/>
        <v/>
      </c>
    </row>
    <row r="613" spans="1:11">
      <c r="A613" s="111" t="s">
        <v>774</v>
      </c>
      <c r="B613" s="108">
        <f>B614+B618</f>
        <v>3710</v>
      </c>
      <c r="C613" s="21"/>
      <c r="D613" s="108">
        <f>D614+D618</f>
        <v>5620</v>
      </c>
      <c r="E613" s="108">
        <f>E614+E618</f>
        <v>6310</v>
      </c>
      <c r="F613" s="108">
        <f t="shared" si="190"/>
        <v>15640</v>
      </c>
      <c r="G613" s="108">
        <f>G614+G618</f>
        <v>9980</v>
      </c>
      <c r="H613" s="108">
        <f t="shared" si="186"/>
        <v>6270</v>
      </c>
      <c r="I613" s="158">
        <f t="shared" si="187"/>
        <v>1.6900269541778976</v>
      </c>
      <c r="J613" s="108">
        <f t="shared" si="188"/>
        <v>-5660</v>
      </c>
      <c r="K613" s="158">
        <f t="shared" si="189"/>
        <v>-0.36189258312020461</v>
      </c>
    </row>
    <row r="614" spans="1:11">
      <c r="A614" s="111" t="s">
        <v>61</v>
      </c>
      <c r="B614" s="108">
        <f>B615+B616</f>
        <v>1710</v>
      </c>
      <c r="C614" s="21"/>
      <c r="D614" s="108">
        <f>+D617+D615+D616</f>
        <v>6620</v>
      </c>
      <c r="E614" s="108">
        <f>+E617+E615+E616</f>
        <v>2410</v>
      </c>
      <c r="F614" s="108">
        <f t="shared" si="190"/>
        <v>10740</v>
      </c>
      <c r="G614" s="108">
        <f>G615+G616+G617</f>
        <v>6480</v>
      </c>
      <c r="H614" s="108">
        <f t="shared" si="186"/>
        <v>4770</v>
      </c>
      <c r="I614" s="158">
        <f t="shared" si="187"/>
        <v>2.7894736842105261</v>
      </c>
      <c r="J614" s="108">
        <f t="shared" si="188"/>
        <v>-4260</v>
      </c>
      <c r="K614" s="158">
        <f t="shared" si="189"/>
        <v>-0.39664804469273746</v>
      </c>
    </row>
    <row r="615" spans="1:11">
      <c r="A615" s="177" t="s">
        <v>89</v>
      </c>
      <c r="B615" s="143">
        <v>360</v>
      </c>
      <c r="C615" s="21"/>
      <c r="D615" s="143">
        <v>270</v>
      </c>
      <c r="E615" s="143">
        <v>35</v>
      </c>
      <c r="F615" s="143">
        <f t="shared" si="190"/>
        <v>665</v>
      </c>
      <c r="G615" s="166">
        <v>630</v>
      </c>
      <c r="H615" s="143">
        <f t="shared" si="186"/>
        <v>270</v>
      </c>
      <c r="I615" s="159">
        <f t="shared" si="187"/>
        <v>0.75</v>
      </c>
      <c r="J615" s="143">
        <f t="shared" si="188"/>
        <v>-35</v>
      </c>
      <c r="K615" s="159">
        <f t="shared" si="189"/>
        <v>-5.2631578947368418E-2</v>
      </c>
    </row>
    <row r="616" spans="1:11">
      <c r="A616" s="177" t="s">
        <v>96</v>
      </c>
      <c r="B616" s="143">
        <v>1350</v>
      </c>
      <c r="C616" s="21"/>
      <c r="D616" s="143">
        <v>5000</v>
      </c>
      <c r="E616" s="143">
        <v>650</v>
      </c>
      <c r="F616" s="143">
        <f t="shared" si="190"/>
        <v>7000</v>
      </c>
      <c r="G616" s="166">
        <v>4500</v>
      </c>
      <c r="H616" s="143">
        <f t="shared" si="186"/>
        <v>3150</v>
      </c>
      <c r="I616" s="159">
        <f t="shared" si="187"/>
        <v>2.3333333333333335</v>
      </c>
      <c r="J616" s="143">
        <f t="shared" si="188"/>
        <v>-2500</v>
      </c>
      <c r="K616" s="159">
        <f t="shared" si="189"/>
        <v>-0.35714285714285715</v>
      </c>
    </row>
    <row r="617" spans="1:11">
      <c r="A617" s="177" t="s">
        <v>90</v>
      </c>
      <c r="B617" s="143"/>
      <c r="C617" s="21"/>
      <c r="D617" s="143">
        <v>1350</v>
      </c>
      <c r="E617" s="143">
        <v>1725</v>
      </c>
      <c r="F617" s="143">
        <f t="shared" si="190"/>
        <v>3075</v>
      </c>
      <c r="G617" s="166">
        <v>1350</v>
      </c>
      <c r="H617" s="143">
        <f t="shared" si="186"/>
        <v>1350</v>
      </c>
      <c r="I617" s="159"/>
      <c r="J617" s="143">
        <f t="shared" si="188"/>
        <v>-1725</v>
      </c>
      <c r="K617" s="159">
        <f t="shared" si="189"/>
        <v>-0.56097560975609762</v>
      </c>
    </row>
    <row r="618" spans="1:11">
      <c r="A618" s="111" t="s">
        <v>56</v>
      </c>
      <c r="B618" s="108">
        <f>B619</f>
        <v>2000</v>
      </c>
      <c r="C618" s="21"/>
      <c r="D618" s="108">
        <f>D619</f>
        <v>-1000</v>
      </c>
      <c r="E618" s="108">
        <f>E619</f>
        <v>3900</v>
      </c>
      <c r="F618" s="108">
        <f t="shared" si="190"/>
        <v>4900</v>
      </c>
      <c r="G618" s="108">
        <f>G619</f>
        <v>3500</v>
      </c>
      <c r="H618" s="108">
        <f t="shared" si="186"/>
        <v>1500</v>
      </c>
      <c r="I618" s="158">
        <f t="shared" si="187"/>
        <v>0.75</v>
      </c>
      <c r="J618" s="108">
        <f t="shared" si="188"/>
        <v>-1400</v>
      </c>
      <c r="K618" s="158">
        <f t="shared" si="189"/>
        <v>-0.2857142857142857</v>
      </c>
    </row>
    <row r="619" spans="1:11">
      <c r="A619" s="177" t="s">
        <v>360</v>
      </c>
      <c r="B619" s="143">
        <v>2000</v>
      </c>
      <c r="C619" s="21"/>
      <c r="D619" s="143">
        <v>-1000</v>
      </c>
      <c r="E619" s="143">
        <v>3900</v>
      </c>
      <c r="F619" s="143">
        <f t="shared" si="190"/>
        <v>4900</v>
      </c>
      <c r="G619" s="166">
        <v>3500</v>
      </c>
      <c r="H619" s="143">
        <f t="shared" si="186"/>
        <v>1500</v>
      </c>
      <c r="I619" s="159">
        <f t="shared" si="187"/>
        <v>0.75</v>
      </c>
      <c r="J619" s="143">
        <f t="shared" si="188"/>
        <v>-1400</v>
      </c>
      <c r="K619" s="159">
        <f t="shared" si="189"/>
        <v>-0.2857142857142857</v>
      </c>
    </row>
    <row r="620" spans="1:11">
      <c r="A620" s="82"/>
      <c r="B620" s="118"/>
      <c r="C620" s="21"/>
      <c r="D620" s="118"/>
      <c r="E620" s="118"/>
      <c r="F620" s="118">
        <f t="shared" si="190"/>
        <v>0</v>
      </c>
      <c r="G620" s="254"/>
      <c r="H620" s="118">
        <f t="shared" si="186"/>
        <v>0</v>
      </c>
      <c r="I620" s="159"/>
      <c r="J620" s="118">
        <f t="shared" si="188"/>
        <v>0</v>
      </c>
      <c r="K620" s="159" t="str">
        <f t="shared" si="189"/>
        <v/>
      </c>
    </row>
    <row r="621" spans="1:11">
      <c r="A621" s="106" t="s">
        <v>775</v>
      </c>
      <c r="B621" s="107">
        <f>B623+B639+B655</f>
        <v>862275</v>
      </c>
      <c r="C621" s="21"/>
      <c r="D621" s="107">
        <f>D623+D639+D655</f>
        <v>22512</v>
      </c>
      <c r="E621" s="107">
        <f>E623+E639+E655</f>
        <v>88257</v>
      </c>
      <c r="F621" s="107">
        <f t="shared" si="190"/>
        <v>973044</v>
      </c>
      <c r="G621" s="107">
        <f>G623+G639+G655</f>
        <v>1001729</v>
      </c>
      <c r="H621" s="107">
        <f t="shared" si="186"/>
        <v>139454</v>
      </c>
      <c r="I621" s="156">
        <f t="shared" si="187"/>
        <v>0.16172798701110436</v>
      </c>
      <c r="J621" s="107">
        <f t="shared" si="188"/>
        <v>28685</v>
      </c>
      <c r="K621" s="156">
        <f t="shared" si="189"/>
        <v>2.9479653540847073E-2</v>
      </c>
    </row>
    <row r="622" spans="1:11">
      <c r="A622" s="109"/>
      <c r="B622" s="110"/>
      <c r="C622" s="21"/>
      <c r="D622" s="110"/>
      <c r="E622" s="110"/>
      <c r="F622" s="110">
        <f t="shared" si="190"/>
        <v>0</v>
      </c>
      <c r="G622" s="21"/>
      <c r="H622" s="110">
        <f t="shared" si="186"/>
        <v>0</v>
      </c>
      <c r="I622" s="188"/>
      <c r="J622" s="110">
        <f t="shared" si="188"/>
        <v>0</v>
      </c>
      <c r="K622" s="188" t="str">
        <f t="shared" si="189"/>
        <v/>
      </c>
    </row>
    <row r="623" spans="1:11">
      <c r="A623" s="111" t="s">
        <v>776</v>
      </c>
      <c r="B623" s="108">
        <f>B626+B629+B635+B632</f>
        <v>386576</v>
      </c>
      <c r="C623" s="21"/>
      <c r="D623" s="108">
        <f>D624+D626+D629</f>
        <v>17812</v>
      </c>
      <c r="E623" s="108">
        <f>E626+E624+E629+E635+E632</f>
        <v>84240</v>
      </c>
      <c r="F623" s="108">
        <f t="shared" si="190"/>
        <v>488628</v>
      </c>
      <c r="G623" s="108">
        <f>G624+G626+G629+G635+G632</f>
        <v>491762</v>
      </c>
      <c r="H623" s="108">
        <f t="shared" si="186"/>
        <v>105186</v>
      </c>
      <c r="I623" s="158">
        <f t="shared" si="187"/>
        <v>0.272096560572824</v>
      </c>
      <c r="J623" s="108">
        <f t="shared" si="188"/>
        <v>3134</v>
      </c>
      <c r="K623" s="158">
        <f t="shared" si="189"/>
        <v>6.4138772235729433E-3</v>
      </c>
    </row>
    <row r="624" spans="1:11">
      <c r="A624" s="111" t="s">
        <v>56</v>
      </c>
      <c r="B624" s="108"/>
      <c r="C624" s="21"/>
      <c r="D624" s="108">
        <f>SUM(D625)</f>
        <v>12000</v>
      </c>
      <c r="E624" s="108">
        <f>SUM(E625)</f>
        <v>4000</v>
      </c>
      <c r="F624" s="108">
        <f t="shared" si="190"/>
        <v>16000</v>
      </c>
      <c r="G624" s="108">
        <f>SUM(G625)</f>
        <v>17000</v>
      </c>
      <c r="H624" s="108">
        <f t="shared" si="186"/>
        <v>17000</v>
      </c>
      <c r="I624" s="158"/>
      <c r="J624" s="108">
        <f t="shared" si="188"/>
        <v>1000</v>
      </c>
      <c r="K624" s="158">
        <f t="shared" si="189"/>
        <v>6.25E-2</v>
      </c>
    </row>
    <row r="625" spans="1:11">
      <c r="A625" s="82" t="s">
        <v>777</v>
      </c>
      <c r="B625" s="108"/>
      <c r="C625" s="21"/>
      <c r="D625" s="118">
        <v>12000</v>
      </c>
      <c r="E625" s="118">
        <v>4000</v>
      </c>
      <c r="F625" s="108">
        <f t="shared" si="190"/>
        <v>16000</v>
      </c>
      <c r="G625" s="108">
        <v>17000</v>
      </c>
      <c r="H625" s="108">
        <f t="shared" si="186"/>
        <v>17000</v>
      </c>
      <c r="I625" s="158"/>
      <c r="J625" s="108">
        <f t="shared" si="188"/>
        <v>1000</v>
      </c>
      <c r="K625" s="158">
        <f t="shared" si="189"/>
        <v>6.25E-2</v>
      </c>
    </row>
    <row r="626" spans="1:11">
      <c r="A626" s="111" t="s">
        <v>59</v>
      </c>
      <c r="B626" s="108">
        <f>SUM(B627:B628)</f>
        <v>45720</v>
      </c>
      <c r="C626" s="21"/>
      <c r="D626" s="108">
        <f>SUM(D627:D628)</f>
        <v>3780</v>
      </c>
      <c r="E626" s="108">
        <f>SUM(E627:E628)</f>
        <v>7920</v>
      </c>
      <c r="F626" s="108">
        <f t="shared" si="190"/>
        <v>57420</v>
      </c>
      <c r="G626" s="108">
        <f t="shared" ref="G626" si="191">SUM(G627:G628)</f>
        <v>45720</v>
      </c>
      <c r="H626" s="108">
        <f t="shared" si="186"/>
        <v>0</v>
      </c>
      <c r="I626" s="158">
        <f t="shared" si="187"/>
        <v>0</v>
      </c>
      <c r="J626" s="108">
        <f t="shared" si="188"/>
        <v>-11700</v>
      </c>
      <c r="K626" s="158">
        <f t="shared" si="189"/>
        <v>-0.20376175548589343</v>
      </c>
    </row>
    <row r="627" spans="1:11">
      <c r="A627" s="82" t="s">
        <v>86</v>
      </c>
      <c r="B627" s="118">
        <v>21000</v>
      </c>
      <c r="C627" s="21"/>
      <c r="D627" s="118">
        <v>1980</v>
      </c>
      <c r="E627" s="118"/>
      <c r="F627" s="118">
        <f t="shared" si="190"/>
        <v>22980</v>
      </c>
      <c r="G627" s="118">
        <v>21000</v>
      </c>
      <c r="H627" s="118">
        <f t="shared" si="186"/>
        <v>0</v>
      </c>
      <c r="I627" s="159">
        <f t="shared" si="187"/>
        <v>0</v>
      </c>
      <c r="J627" s="118">
        <f t="shared" si="188"/>
        <v>-1980</v>
      </c>
      <c r="K627" s="159">
        <f t="shared" si="189"/>
        <v>-8.6161879895561358E-2</v>
      </c>
    </row>
    <row r="628" spans="1:11">
      <c r="A628" s="82" t="s">
        <v>70</v>
      </c>
      <c r="B628" s="118">
        <v>24720</v>
      </c>
      <c r="C628" s="21"/>
      <c r="D628" s="118">
        <v>1800</v>
      </c>
      <c r="E628" s="118">
        <v>7920</v>
      </c>
      <c r="F628" s="118">
        <f t="shared" si="190"/>
        <v>34440</v>
      </c>
      <c r="G628" s="118">
        <v>24720</v>
      </c>
      <c r="H628" s="118">
        <f t="shared" si="186"/>
        <v>0</v>
      </c>
      <c r="I628" s="159">
        <f t="shared" si="187"/>
        <v>0</v>
      </c>
      <c r="J628" s="118">
        <f t="shared" si="188"/>
        <v>-9720</v>
      </c>
      <c r="K628" s="159">
        <f t="shared" si="189"/>
        <v>-0.28222996515679444</v>
      </c>
    </row>
    <row r="629" spans="1:11">
      <c r="A629" s="111" t="s">
        <v>51</v>
      </c>
      <c r="B629" s="108">
        <f>SUM(B630:B631)</f>
        <v>90266</v>
      </c>
      <c r="C629" s="21"/>
      <c r="D629" s="108">
        <f>SUM(D630:D630)</f>
        <v>2032</v>
      </c>
      <c r="E629" s="108">
        <f>SUM(E630:E630)</f>
        <v>4737</v>
      </c>
      <c r="F629" s="108">
        <f t="shared" si="190"/>
        <v>97035</v>
      </c>
      <c r="G629" s="108">
        <f t="shared" ref="G629" si="192">SUM(G630:G631)</f>
        <v>110986</v>
      </c>
      <c r="H629" s="108">
        <f t="shared" si="186"/>
        <v>20720</v>
      </c>
      <c r="I629" s="158">
        <f t="shared" si="187"/>
        <v>0.22954379279019785</v>
      </c>
      <c r="J629" s="108">
        <f t="shared" si="188"/>
        <v>13951</v>
      </c>
      <c r="K629" s="158">
        <f t="shared" si="189"/>
        <v>0.14377286546091617</v>
      </c>
    </row>
    <row r="630" spans="1:11">
      <c r="A630" s="82" t="s">
        <v>69</v>
      </c>
      <c r="B630" s="118">
        <v>62066</v>
      </c>
      <c r="C630" s="21"/>
      <c r="D630" s="118">
        <f>3180-1148</f>
        <v>2032</v>
      </c>
      <c r="E630" s="118">
        <v>4737</v>
      </c>
      <c r="F630" s="118">
        <f t="shared" si="190"/>
        <v>68835</v>
      </c>
      <c r="G630" s="498">
        <v>82786</v>
      </c>
      <c r="H630" s="118">
        <f t="shared" si="186"/>
        <v>20720</v>
      </c>
      <c r="I630" s="159">
        <f t="shared" si="187"/>
        <v>0.33383817226823059</v>
      </c>
      <c r="J630" s="118">
        <f t="shared" si="188"/>
        <v>13951</v>
      </c>
      <c r="K630" s="159">
        <f t="shared" si="189"/>
        <v>0.20267305876371033</v>
      </c>
    </row>
    <row r="631" spans="1:11">
      <c r="A631" s="82" t="s">
        <v>70</v>
      </c>
      <c r="B631" s="118">
        <v>28200</v>
      </c>
      <c r="C631" s="21"/>
      <c r="D631" s="118"/>
      <c r="E631" s="118"/>
      <c r="F631" s="118">
        <f t="shared" si="190"/>
        <v>28200</v>
      </c>
      <c r="G631" s="118">
        <v>28200</v>
      </c>
      <c r="H631" s="118">
        <f t="shared" si="186"/>
        <v>0</v>
      </c>
      <c r="I631" s="159">
        <f t="shared" si="187"/>
        <v>0</v>
      </c>
      <c r="J631" s="118">
        <f t="shared" si="188"/>
        <v>0</v>
      </c>
      <c r="K631" s="159">
        <f t="shared" si="189"/>
        <v>0</v>
      </c>
    </row>
    <row r="632" spans="1:11">
      <c r="A632" s="111" t="s">
        <v>58</v>
      </c>
      <c r="B632" s="108">
        <f>SUM(B633:B634)</f>
        <v>115390</v>
      </c>
      <c r="C632" s="21"/>
      <c r="D632" s="118"/>
      <c r="E632" s="108">
        <f>SUM(E633:E634)</f>
        <v>28226</v>
      </c>
      <c r="F632" s="108">
        <f t="shared" si="190"/>
        <v>143616</v>
      </c>
      <c r="G632" s="108">
        <f t="shared" ref="G632" si="193">SUM(G633:G634)</f>
        <v>151576</v>
      </c>
      <c r="H632" s="108">
        <f t="shared" si="186"/>
        <v>36186</v>
      </c>
      <c r="I632" s="158">
        <f t="shared" si="187"/>
        <v>0.3135973654562787</v>
      </c>
      <c r="J632" s="108">
        <f t="shared" si="188"/>
        <v>7960</v>
      </c>
      <c r="K632" s="158">
        <f t="shared" si="189"/>
        <v>5.5425579322638148E-2</v>
      </c>
    </row>
    <row r="633" spans="1:11">
      <c r="A633" s="83" t="s">
        <v>94</v>
      </c>
      <c r="B633" s="112">
        <v>54000</v>
      </c>
      <c r="C633" s="21"/>
      <c r="D633" s="118"/>
      <c r="E633" s="112">
        <v>3376</v>
      </c>
      <c r="F633" s="112">
        <f t="shared" si="190"/>
        <v>57376</v>
      </c>
      <c r="G633" s="112">
        <v>55200</v>
      </c>
      <c r="H633" s="112">
        <f t="shared" si="186"/>
        <v>1200</v>
      </c>
      <c r="I633" s="186">
        <f t="shared" si="187"/>
        <v>2.2222222222222223E-2</v>
      </c>
      <c r="J633" s="112">
        <f t="shared" si="188"/>
        <v>-2176</v>
      </c>
      <c r="K633" s="186">
        <f t="shared" si="189"/>
        <v>-3.7925264919129953E-2</v>
      </c>
    </row>
    <row r="634" spans="1:11">
      <c r="A634" s="83" t="s">
        <v>83</v>
      </c>
      <c r="B634" s="112">
        <v>61390</v>
      </c>
      <c r="C634" s="21"/>
      <c r="D634" s="118"/>
      <c r="E634" s="112">
        <v>24850</v>
      </c>
      <c r="F634" s="112">
        <f t="shared" si="190"/>
        <v>86240</v>
      </c>
      <c r="G634" s="112">
        <v>96376</v>
      </c>
      <c r="H634" s="112">
        <f t="shared" si="186"/>
        <v>34986</v>
      </c>
      <c r="I634" s="186">
        <f t="shared" si="187"/>
        <v>0.56989737742303304</v>
      </c>
      <c r="J634" s="112">
        <f t="shared" si="188"/>
        <v>10136</v>
      </c>
      <c r="K634" s="186">
        <f t="shared" si="189"/>
        <v>0.11753246753246753</v>
      </c>
    </row>
    <row r="635" spans="1:11">
      <c r="A635" s="119" t="s">
        <v>52</v>
      </c>
      <c r="B635" s="120">
        <f>SUM(B636:B637)</f>
        <v>135200</v>
      </c>
      <c r="C635" s="21"/>
      <c r="D635" s="118"/>
      <c r="E635" s="120">
        <f>SUM(E636:E637)</f>
        <v>39357</v>
      </c>
      <c r="F635" s="120">
        <f t="shared" si="190"/>
        <v>174557</v>
      </c>
      <c r="G635" s="120">
        <f t="shared" ref="G635" si="194">SUM(G636:G637)</f>
        <v>166480</v>
      </c>
      <c r="H635" s="120">
        <f t="shared" si="186"/>
        <v>31280</v>
      </c>
      <c r="I635" s="187">
        <f t="shared" si="187"/>
        <v>0.23136094674556212</v>
      </c>
      <c r="J635" s="120">
        <f t="shared" si="188"/>
        <v>-8077</v>
      </c>
      <c r="K635" s="187">
        <f t="shared" si="189"/>
        <v>-4.6271418505130127E-2</v>
      </c>
    </row>
    <row r="636" spans="1:11">
      <c r="A636" s="82" t="s">
        <v>92</v>
      </c>
      <c r="B636" s="118">
        <v>115200</v>
      </c>
      <c r="C636" s="21"/>
      <c r="D636" s="118"/>
      <c r="E636" s="118">
        <v>37357</v>
      </c>
      <c r="F636" s="118">
        <f t="shared" si="190"/>
        <v>152557</v>
      </c>
      <c r="G636" s="118">
        <v>145480</v>
      </c>
      <c r="H636" s="118">
        <f t="shared" si="186"/>
        <v>30280</v>
      </c>
      <c r="I636" s="159">
        <f t="shared" si="187"/>
        <v>0.26284722222222223</v>
      </c>
      <c r="J636" s="118">
        <f t="shared" si="188"/>
        <v>-7077</v>
      </c>
      <c r="K636" s="159">
        <f t="shared" si="189"/>
        <v>-4.638921845605249E-2</v>
      </c>
    </row>
    <row r="637" spans="1:11">
      <c r="A637" s="83" t="s">
        <v>84</v>
      </c>
      <c r="B637" s="112">
        <v>20000</v>
      </c>
      <c r="C637" s="21"/>
      <c r="D637" s="118"/>
      <c r="E637" s="112">
        <v>2000</v>
      </c>
      <c r="F637" s="112">
        <f t="shared" si="190"/>
        <v>22000</v>
      </c>
      <c r="G637" s="112">
        <v>21000</v>
      </c>
      <c r="H637" s="112">
        <f t="shared" si="186"/>
        <v>1000</v>
      </c>
      <c r="I637" s="186">
        <f t="shared" si="187"/>
        <v>0.05</v>
      </c>
      <c r="J637" s="112">
        <f t="shared" si="188"/>
        <v>-1000</v>
      </c>
      <c r="K637" s="186">
        <f t="shared" si="189"/>
        <v>-4.5454545454545456E-2</v>
      </c>
    </row>
    <row r="638" spans="1:11">
      <c r="A638" s="83"/>
      <c r="B638" s="112"/>
      <c r="C638" s="21"/>
      <c r="D638" s="118"/>
      <c r="E638" s="118"/>
      <c r="F638" s="112">
        <f t="shared" si="190"/>
        <v>0</v>
      </c>
      <c r="G638" s="21"/>
      <c r="H638" s="112">
        <f t="shared" ref="H638:H701" si="195">G638-B638</f>
        <v>0</v>
      </c>
      <c r="I638" s="186"/>
      <c r="J638" s="112">
        <f t="shared" ref="J638:J701" si="196">G638-F638</f>
        <v>0</v>
      </c>
      <c r="K638" s="186" t="str">
        <f t="shared" ref="K638:K701" si="197">IF(G638=0,"",J638/F638)</f>
        <v/>
      </c>
    </row>
    <row r="639" spans="1:11">
      <c r="A639" s="111" t="s">
        <v>778</v>
      </c>
      <c r="B639" s="108">
        <f>B640+B649+B646</f>
        <v>392699</v>
      </c>
      <c r="C639" s="21"/>
      <c r="D639" s="108">
        <f>D652</f>
        <v>300</v>
      </c>
      <c r="E639" s="108">
        <f>E640+E649+E646</f>
        <v>5492</v>
      </c>
      <c r="F639" s="108">
        <f t="shared" si="190"/>
        <v>398491</v>
      </c>
      <c r="G639" s="108">
        <f t="shared" ref="G639" si="198">G640+G649+G646</f>
        <v>422967</v>
      </c>
      <c r="H639" s="108">
        <f t="shared" si="195"/>
        <v>30268</v>
      </c>
      <c r="I639" s="158">
        <f t="shared" ref="I639:I701" si="199">H639/B639</f>
        <v>7.7076845115470125E-2</v>
      </c>
      <c r="J639" s="108">
        <f t="shared" si="196"/>
        <v>24476</v>
      </c>
      <c r="K639" s="158">
        <f t="shared" si="197"/>
        <v>6.1421713413853767E-2</v>
      </c>
    </row>
    <row r="640" spans="1:11">
      <c r="A640" s="111" t="s">
        <v>55</v>
      </c>
      <c r="B640" s="108">
        <f>SUM(B641:B645)</f>
        <v>138300</v>
      </c>
      <c r="C640" s="21"/>
      <c r="D640" s="108"/>
      <c r="E640" s="108">
        <f>SUM(E641:E645)</f>
        <v>-23208</v>
      </c>
      <c r="F640" s="108">
        <f t="shared" si="190"/>
        <v>115092</v>
      </c>
      <c r="G640" s="108">
        <f t="shared" ref="G640" si="200">SUM(G641:G645)</f>
        <v>137400</v>
      </c>
      <c r="H640" s="108">
        <f t="shared" si="195"/>
        <v>-900</v>
      </c>
      <c r="I640" s="158">
        <f t="shared" si="199"/>
        <v>-6.5075921908893707E-3</v>
      </c>
      <c r="J640" s="108">
        <f t="shared" si="196"/>
        <v>22308</v>
      </c>
      <c r="K640" s="158">
        <f t="shared" si="197"/>
        <v>0.19382754665832552</v>
      </c>
    </row>
    <row r="641" spans="1:11">
      <c r="A641" s="82" t="s">
        <v>80</v>
      </c>
      <c r="B641" s="118">
        <v>23100</v>
      </c>
      <c r="C641" s="21"/>
      <c r="D641" s="108"/>
      <c r="E641" s="118">
        <v>-18208</v>
      </c>
      <c r="F641" s="118">
        <f t="shared" si="190"/>
        <v>4892</v>
      </c>
      <c r="G641" s="118">
        <v>6800</v>
      </c>
      <c r="H641" s="118">
        <f t="shared" si="195"/>
        <v>-16300</v>
      </c>
      <c r="I641" s="159">
        <f t="shared" si="199"/>
        <v>-0.7056277056277056</v>
      </c>
      <c r="J641" s="118">
        <f t="shared" si="196"/>
        <v>1908</v>
      </c>
      <c r="K641" s="159">
        <f t="shared" si="197"/>
        <v>0.39002452984464431</v>
      </c>
    </row>
    <row r="642" spans="1:11">
      <c r="A642" s="82" t="s">
        <v>77</v>
      </c>
      <c r="B642" s="118">
        <v>15000</v>
      </c>
      <c r="C642" s="21"/>
      <c r="D642" s="108"/>
      <c r="E642" s="108"/>
      <c r="F642" s="118">
        <f t="shared" si="190"/>
        <v>15000</v>
      </c>
      <c r="G642" s="118">
        <v>35000</v>
      </c>
      <c r="H642" s="118">
        <f t="shared" si="195"/>
        <v>20000</v>
      </c>
      <c r="I642" s="159">
        <f t="shared" si="199"/>
        <v>1.3333333333333333</v>
      </c>
      <c r="J642" s="118">
        <f t="shared" si="196"/>
        <v>20000</v>
      </c>
      <c r="K642" s="159">
        <f t="shared" si="197"/>
        <v>1.3333333333333333</v>
      </c>
    </row>
    <row r="643" spans="1:11">
      <c r="A643" s="83" t="s">
        <v>82</v>
      </c>
      <c r="B643" s="112">
        <v>90000</v>
      </c>
      <c r="C643" s="21"/>
      <c r="D643" s="108"/>
      <c r="E643" s="108"/>
      <c r="F643" s="112">
        <f t="shared" si="190"/>
        <v>90000</v>
      </c>
      <c r="G643" s="112">
        <v>90000</v>
      </c>
      <c r="H643" s="112">
        <f t="shared" si="195"/>
        <v>0</v>
      </c>
      <c r="I643" s="186">
        <f t="shared" si="199"/>
        <v>0</v>
      </c>
      <c r="J643" s="112">
        <f t="shared" si="196"/>
        <v>0</v>
      </c>
      <c r="K643" s="186">
        <f t="shared" si="197"/>
        <v>0</v>
      </c>
    </row>
    <row r="644" spans="1:11">
      <c r="A644" s="83" t="s">
        <v>76</v>
      </c>
      <c r="B644" s="112">
        <v>6000</v>
      </c>
      <c r="C644" s="21"/>
      <c r="D644" s="108"/>
      <c r="E644" s="112">
        <v>-5000</v>
      </c>
      <c r="F644" s="112">
        <f t="shared" si="190"/>
        <v>1000</v>
      </c>
      <c r="G644" s="112">
        <v>1400</v>
      </c>
      <c r="H644" s="112">
        <f t="shared" si="195"/>
        <v>-4600</v>
      </c>
      <c r="I644" s="186">
        <f t="shared" si="199"/>
        <v>-0.76666666666666672</v>
      </c>
      <c r="J644" s="112">
        <f t="shared" si="196"/>
        <v>400</v>
      </c>
      <c r="K644" s="186">
        <f t="shared" si="197"/>
        <v>0.4</v>
      </c>
    </row>
    <row r="645" spans="1:11">
      <c r="A645" s="83" t="s">
        <v>180</v>
      </c>
      <c r="B645" s="112">
        <v>4200</v>
      </c>
      <c r="C645" s="21"/>
      <c r="D645" s="108"/>
      <c r="E645" s="108"/>
      <c r="F645" s="112">
        <f t="shared" si="190"/>
        <v>4200</v>
      </c>
      <c r="G645" s="112">
        <v>4200</v>
      </c>
      <c r="H645" s="112">
        <f t="shared" si="195"/>
        <v>0</v>
      </c>
      <c r="I645" s="186">
        <f t="shared" si="199"/>
        <v>0</v>
      </c>
      <c r="J645" s="112">
        <f t="shared" si="196"/>
        <v>0</v>
      </c>
      <c r="K645" s="186">
        <f t="shared" si="197"/>
        <v>0</v>
      </c>
    </row>
    <row r="646" spans="1:11">
      <c r="A646" s="111" t="s">
        <v>51</v>
      </c>
      <c r="B646" s="108">
        <f>B647+B648</f>
        <v>242799</v>
      </c>
      <c r="C646" s="21"/>
      <c r="D646" s="108"/>
      <c r="E646" s="108">
        <f>E647+E648</f>
        <v>32200</v>
      </c>
      <c r="F646" s="108">
        <f t="shared" si="190"/>
        <v>274999</v>
      </c>
      <c r="G646" s="108">
        <f t="shared" ref="G646" si="201">G647+G648</f>
        <v>276867</v>
      </c>
      <c r="H646" s="108">
        <f t="shared" si="195"/>
        <v>34068</v>
      </c>
      <c r="I646" s="158">
        <f t="shared" si="199"/>
        <v>0.14031359272484648</v>
      </c>
      <c r="J646" s="108">
        <f t="shared" si="196"/>
        <v>1868</v>
      </c>
      <c r="K646" s="158">
        <f t="shared" si="197"/>
        <v>6.7927519736435404E-3</v>
      </c>
    </row>
    <row r="647" spans="1:11">
      <c r="A647" s="82" t="s">
        <v>69</v>
      </c>
      <c r="B647" s="118">
        <v>203399</v>
      </c>
      <c r="C647" s="21"/>
      <c r="D647" s="108"/>
      <c r="E647" s="108"/>
      <c r="F647" s="118">
        <f t="shared" ref="F647:F710" si="202">SUM(B647:E647)</f>
        <v>203399</v>
      </c>
      <c r="G647" s="118">
        <v>207467</v>
      </c>
      <c r="H647" s="118">
        <f t="shared" si="195"/>
        <v>4068</v>
      </c>
      <c r="I647" s="159">
        <f t="shared" si="199"/>
        <v>2.0000098328900338E-2</v>
      </c>
      <c r="J647" s="118">
        <f t="shared" si="196"/>
        <v>4068</v>
      </c>
      <c r="K647" s="159">
        <f t="shared" si="197"/>
        <v>2.0000098328900338E-2</v>
      </c>
    </row>
    <row r="648" spans="1:11">
      <c r="A648" s="82" t="s">
        <v>70</v>
      </c>
      <c r="B648" s="118">
        <v>39400</v>
      </c>
      <c r="C648" s="21"/>
      <c r="D648" s="108"/>
      <c r="E648" s="118">
        <v>32200</v>
      </c>
      <c r="F648" s="118">
        <f t="shared" si="202"/>
        <v>71600</v>
      </c>
      <c r="G648" s="118">
        <v>69400</v>
      </c>
      <c r="H648" s="118">
        <f t="shared" si="195"/>
        <v>30000</v>
      </c>
      <c r="I648" s="159">
        <f t="shared" si="199"/>
        <v>0.76142131979695427</v>
      </c>
      <c r="J648" s="118">
        <f t="shared" si="196"/>
        <v>-2200</v>
      </c>
      <c r="K648" s="159">
        <f t="shared" si="197"/>
        <v>-3.0726256983240222E-2</v>
      </c>
    </row>
    <row r="649" spans="1:11">
      <c r="A649" s="111" t="s">
        <v>56</v>
      </c>
      <c r="B649" s="108">
        <f>SUM(B650:B651)</f>
        <v>11600</v>
      </c>
      <c r="C649" s="21"/>
      <c r="D649" s="108"/>
      <c r="E649" s="108">
        <f>SUM(E650:E651)</f>
        <v>-3500</v>
      </c>
      <c r="F649" s="108">
        <f t="shared" si="202"/>
        <v>8100</v>
      </c>
      <c r="G649" s="108">
        <f t="shared" ref="G649" si="203">SUM(G650:G651)</f>
        <v>8700</v>
      </c>
      <c r="H649" s="108">
        <f t="shared" si="195"/>
        <v>-2900</v>
      </c>
      <c r="I649" s="158">
        <f t="shared" si="199"/>
        <v>-0.25</v>
      </c>
      <c r="J649" s="108">
        <f t="shared" si="196"/>
        <v>600</v>
      </c>
      <c r="K649" s="158">
        <f t="shared" si="197"/>
        <v>7.407407407407407E-2</v>
      </c>
    </row>
    <row r="650" spans="1:11">
      <c r="A650" s="82" t="s">
        <v>208</v>
      </c>
      <c r="B650" s="118">
        <v>5000</v>
      </c>
      <c r="C650" s="21"/>
      <c r="D650" s="108"/>
      <c r="E650" s="118">
        <v>-3500</v>
      </c>
      <c r="F650" s="118">
        <f t="shared" si="202"/>
        <v>1500</v>
      </c>
      <c r="G650" s="118">
        <v>1700</v>
      </c>
      <c r="H650" s="118">
        <f t="shared" si="195"/>
        <v>-3300</v>
      </c>
      <c r="I650" s="159">
        <f t="shared" si="199"/>
        <v>-0.66</v>
      </c>
      <c r="J650" s="118">
        <f t="shared" si="196"/>
        <v>200</v>
      </c>
      <c r="K650" s="159">
        <f t="shared" si="197"/>
        <v>0.13333333333333333</v>
      </c>
    </row>
    <row r="651" spans="1:11">
      <c r="A651" s="82" t="s">
        <v>79</v>
      </c>
      <c r="B651" s="118">
        <v>6600</v>
      </c>
      <c r="C651" s="21"/>
      <c r="D651" s="108"/>
      <c r="E651" s="108"/>
      <c r="F651" s="118">
        <f t="shared" si="202"/>
        <v>6600</v>
      </c>
      <c r="G651" s="118">
        <v>7000</v>
      </c>
      <c r="H651" s="118">
        <f t="shared" si="195"/>
        <v>400</v>
      </c>
      <c r="I651" s="159">
        <f t="shared" si="199"/>
        <v>6.0606060606060608E-2</v>
      </c>
      <c r="J651" s="118">
        <f t="shared" si="196"/>
        <v>400</v>
      </c>
      <c r="K651" s="159">
        <f t="shared" si="197"/>
        <v>6.0606060606060608E-2</v>
      </c>
    </row>
    <row r="652" spans="1:11">
      <c r="A652" s="111" t="s">
        <v>52</v>
      </c>
      <c r="B652" s="118"/>
      <c r="C652" s="21"/>
      <c r="D652" s="108">
        <f>SUM(D653)</f>
        <v>300</v>
      </c>
      <c r="E652" s="108"/>
      <c r="F652" s="118">
        <f t="shared" si="202"/>
        <v>300</v>
      </c>
      <c r="G652" s="118"/>
      <c r="H652" s="118">
        <f t="shared" si="195"/>
        <v>0</v>
      </c>
      <c r="I652" s="159"/>
      <c r="J652" s="118">
        <f t="shared" si="196"/>
        <v>-300</v>
      </c>
      <c r="K652" s="159" t="str">
        <f t="shared" si="197"/>
        <v/>
      </c>
    </row>
    <row r="653" spans="1:11">
      <c r="A653" s="82" t="s">
        <v>779</v>
      </c>
      <c r="B653" s="118"/>
      <c r="C653" s="21"/>
      <c r="D653" s="118">
        <v>300</v>
      </c>
      <c r="E653" s="118"/>
      <c r="F653" s="118">
        <f t="shared" si="202"/>
        <v>300</v>
      </c>
      <c r="G653" s="118"/>
      <c r="H653" s="118">
        <f t="shared" si="195"/>
        <v>0</v>
      </c>
      <c r="I653" s="159"/>
      <c r="J653" s="118">
        <f t="shared" si="196"/>
        <v>-300</v>
      </c>
      <c r="K653" s="159" t="str">
        <f t="shared" si="197"/>
        <v/>
      </c>
    </row>
    <row r="654" spans="1:11">
      <c r="A654" s="82"/>
      <c r="B654" s="118"/>
      <c r="C654" s="21"/>
      <c r="D654" s="118"/>
      <c r="E654" s="118"/>
      <c r="F654" s="118">
        <f t="shared" si="202"/>
        <v>0</v>
      </c>
      <c r="G654" s="21"/>
      <c r="H654" s="118">
        <f t="shared" si="195"/>
        <v>0</v>
      </c>
      <c r="I654" s="159"/>
      <c r="J654" s="118">
        <f t="shared" si="196"/>
        <v>0</v>
      </c>
      <c r="K654" s="159" t="str">
        <f t="shared" si="197"/>
        <v/>
      </c>
    </row>
    <row r="655" spans="1:11">
      <c r="A655" s="111" t="s">
        <v>780</v>
      </c>
      <c r="B655" s="108">
        <f>B656</f>
        <v>83000</v>
      </c>
      <c r="C655" s="21"/>
      <c r="D655" s="108">
        <f>D656</f>
        <v>4400</v>
      </c>
      <c r="E655" s="108">
        <f>E656</f>
        <v>-1475</v>
      </c>
      <c r="F655" s="108">
        <f t="shared" si="202"/>
        <v>85925</v>
      </c>
      <c r="G655" s="108">
        <f t="shared" ref="G655" si="204">G656</f>
        <v>87000</v>
      </c>
      <c r="H655" s="108">
        <f t="shared" si="195"/>
        <v>4000</v>
      </c>
      <c r="I655" s="158">
        <f t="shared" si="199"/>
        <v>4.8192771084337352E-2</v>
      </c>
      <c r="J655" s="108">
        <f t="shared" si="196"/>
        <v>1075</v>
      </c>
      <c r="K655" s="158">
        <f t="shared" si="197"/>
        <v>1.2510910677916789E-2</v>
      </c>
    </row>
    <row r="656" spans="1:11">
      <c r="A656" s="111" t="s">
        <v>61</v>
      </c>
      <c r="B656" s="108">
        <f>SUM(B657:B662)</f>
        <v>83000</v>
      </c>
      <c r="C656" s="21"/>
      <c r="D656" s="108">
        <f>SUM(D657:D659)</f>
        <v>4400</v>
      </c>
      <c r="E656" s="108">
        <f>SUM(E657:E662)</f>
        <v>-1475</v>
      </c>
      <c r="F656" s="108">
        <f t="shared" si="202"/>
        <v>85925</v>
      </c>
      <c r="G656" s="108">
        <f t="shared" ref="G656" si="205">SUM(G657:G662)</f>
        <v>87000</v>
      </c>
      <c r="H656" s="108">
        <f t="shared" si="195"/>
        <v>4000</v>
      </c>
      <c r="I656" s="158">
        <f t="shared" si="199"/>
        <v>4.8192771084337352E-2</v>
      </c>
      <c r="J656" s="108">
        <f t="shared" si="196"/>
        <v>1075</v>
      </c>
      <c r="K656" s="158">
        <f t="shared" si="197"/>
        <v>1.2510910677916789E-2</v>
      </c>
    </row>
    <row r="657" spans="1:11">
      <c r="A657" s="82" t="s">
        <v>95</v>
      </c>
      <c r="B657" s="118">
        <v>13000</v>
      </c>
      <c r="C657" s="21"/>
      <c r="D657" s="118">
        <v>4000</v>
      </c>
      <c r="E657" s="118">
        <v>1500</v>
      </c>
      <c r="F657" s="118">
        <f t="shared" si="202"/>
        <v>18500</v>
      </c>
      <c r="G657" s="118">
        <v>17000</v>
      </c>
      <c r="H657" s="118">
        <f t="shared" si="195"/>
        <v>4000</v>
      </c>
      <c r="I657" s="159">
        <f t="shared" si="199"/>
        <v>0.30769230769230771</v>
      </c>
      <c r="J657" s="118">
        <f t="shared" si="196"/>
        <v>-1500</v>
      </c>
      <c r="K657" s="159">
        <f t="shared" si="197"/>
        <v>-8.1081081081081086E-2</v>
      </c>
    </row>
    <row r="658" spans="1:11">
      <c r="A658" s="83" t="s">
        <v>89</v>
      </c>
      <c r="B658" s="112">
        <v>53000</v>
      </c>
      <c r="C658" s="21"/>
      <c r="D658" s="118"/>
      <c r="E658" s="118"/>
      <c r="F658" s="112">
        <f t="shared" si="202"/>
        <v>53000</v>
      </c>
      <c r="G658" s="112">
        <v>53000</v>
      </c>
      <c r="H658" s="112">
        <f t="shared" si="195"/>
        <v>0</v>
      </c>
      <c r="I658" s="186">
        <f t="shared" si="199"/>
        <v>0</v>
      </c>
      <c r="J658" s="112">
        <f t="shared" si="196"/>
        <v>0</v>
      </c>
      <c r="K658" s="186">
        <f t="shared" si="197"/>
        <v>0</v>
      </c>
    </row>
    <row r="659" spans="1:11">
      <c r="A659" s="83" t="s">
        <v>207</v>
      </c>
      <c r="B659" s="112">
        <v>1300</v>
      </c>
      <c r="C659" s="21"/>
      <c r="D659" s="118">
        <v>400</v>
      </c>
      <c r="E659" s="118"/>
      <c r="F659" s="112">
        <f t="shared" si="202"/>
        <v>1700</v>
      </c>
      <c r="G659" s="112">
        <v>1300</v>
      </c>
      <c r="H659" s="112">
        <f t="shared" si="195"/>
        <v>0</v>
      </c>
      <c r="I659" s="186">
        <f t="shared" si="199"/>
        <v>0</v>
      </c>
      <c r="J659" s="112">
        <f t="shared" si="196"/>
        <v>-400</v>
      </c>
      <c r="K659" s="186">
        <f t="shared" si="197"/>
        <v>-0.23529411764705882</v>
      </c>
    </row>
    <row r="660" spans="1:11">
      <c r="A660" s="83" t="s">
        <v>75</v>
      </c>
      <c r="B660" s="112">
        <v>5500</v>
      </c>
      <c r="C660" s="21"/>
      <c r="D660" s="112"/>
      <c r="E660" s="112">
        <v>-4475</v>
      </c>
      <c r="F660" s="112">
        <f t="shared" si="202"/>
        <v>1025</v>
      </c>
      <c r="G660" s="112">
        <v>5500</v>
      </c>
      <c r="H660" s="112">
        <f t="shared" si="195"/>
        <v>0</v>
      </c>
      <c r="I660" s="186">
        <f t="shared" si="199"/>
        <v>0</v>
      </c>
      <c r="J660" s="112">
        <f t="shared" si="196"/>
        <v>4475</v>
      </c>
      <c r="K660" s="186">
        <f t="shared" si="197"/>
        <v>4.3658536585365857</v>
      </c>
    </row>
    <row r="661" spans="1:11">
      <c r="A661" s="83" t="s">
        <v>97</v>
      </c>
      <c r="B661" s="112">
        <v>5200</v>
      </c>
      <c r="C661" s="21"/>
      <c r="D661" s="112"/>
      <c r="E661" s="112"/>
      <c r="F661" s="112">
        <f t="shared" si="202"/>
        <v>5200</v>
      </c>
      <c r="G661" s="112">
        <v>5200</v>
      </c>
      <c r="H661" s="112">
        <f t="shared" si="195"/>
        <v>0</v>
      </c>
      <c r="I661" s="186">
        <f t="shared" si="199"/>
        <v>0</v>
      </c>
      <c r="J661" s="112">
        <f t="shared" si="196"/>
        <v>0</v>
      </c>
      <c r="K661" s="186">
        <f t="shared" si="197"/>
        <v>0</v>
      </c>
    </row>
    <row r="662" spans="1:11">
      <c r="A662" s="82" t="s">
        <v>183</v>
      </c>
      <c r="B662" s="118">
        <v>5000</v>
      </c>
      <c r="C662" s="21"/>
      <c r="D662" s="118"/>
      <c r="E662" s="118">
        <v>1500</v>
      </c>
      <c r="F662" s="118">
        <f t="shared" si="202"/>
        <v>6500</v>
      </c>
      <c r="G662" s="118">
        <v>5000</v>
      </c>
      <c r="H662" s="118">
        <f t="shared" si="195"/>
        <v>0</v>
      </c>
      <c r="I662" s="159">
        <f t="shared" si="199"/>
        <v>0</v>
      </c>
      <c r="J662" s="118">
        <f t="shared" si="196"/>
        <v>-1500</v>
      </c>
      <c r="K662" s="159">
        <f t="shared" si="197"/>
        <v>-0.23076923076923078</v>
      </c>
    </row>
    <row r="663" spans="1:11">
      <c r="A663" s="109"/>
      <c r="B663" s="110"/>
      <c r="C663" s="21"/>
      <c r="D663" s="110"/>
      <c r="E663" s="110"/>
      <c r="F663" s="110">
        <f t="shared" si="202"/>
        <v>0</v>
      </c>
      <c r="G663" s="254"/>
      <c r="H663" s="110">
        <f t="shared" si="195"/>
        <v>0</v>
      </c>
      <c r="I663" s="188"/>
      <c r="J663" s="110">
        <f t="shared" si="196"/>
        <v>0</v>
      </c>
      <c r="K663" s="188" t="str">
        <f t="shared" si="197"/>
        <v/>
      </c>
    </row>
    <row r="664" spans="1:11">
      <c r="A664" s="106" t="s">
        <v>781</v>
      </c>
      <c r="B664" s="107">
        <f>SUM(B666,B684,B694,B704)</f>
        <v>772655</v>
      </c>
      <c r="C664" s="21"/>
      <c r="D664" s="107">
        <f>SUM(D666,D684)</f>
        <v>27560</v>
      </c>
      <c r="E664" s="107">
        <f>SUM(E666,E684,E694,E704)</f>
        <v>25100</v>
      </c>
      <c r="F664" s="107">
        <f t="shared" si="202"/>
        <v>825315</v>
      </c>
      <c r="G664" s="107">
        <f>SUM(G666,G684,G694,G704)</f>
        <v>818220</v>
      </c>
      <c r="H664" s="490">
        <f t="shared" si="195"/>
        <v>45565</v>
      </c>
      <c r="I664" s="491">
        <f t="shared" si="199"/>
        <v>5.8971986203415497E-2</v>
      </c>
      <c r="J664" s="490">
        <f t="shared" si="196"/>
        <v>-7095</v>
      </c>
      <c r="K664" s="491">
        <f t="shared" si="197"/>
        <v>-8.5967176169099071E-3</v>
      </c>
    </row>
    <row r="665" spans="1:11">
      <c r="A665" s="109"/>
      <c r="B665" s="110"/>
      <c r="C665" s="21"/>
      <c r="D665" s="110"/>
      <c r="E665" s="110"/>
      <c r="F665" s="110">
        <f t="shared" si="202"/>
        <v>0</v>
      </c>
      <c r="G665" s="254"/>
      <c r="H665" s="487">
        <f t="shared" si="195"/>
        <v>0</v>
      </c>
      <c r="I665" s="488"/>
      <c r="J665" s="487">
        <f t="shared" si="196"/>
        <v>0</v>
      </c>
      <c r="K665" s="488" t="str">
        <f t="shared" si="197"/>
        <v/>
      </c>
    </row>
    <row r="666" spans="1:11">
      <c r="A666" s="111" t="s">
        <v>782</v>
      </c>
      <c r="B666" s="108">
        <f>B671+B674+B677+B679+B667+B669</f>
        <v>417315</v>
      </c>
      <c r="C666" s="21"/>
      <c r="D666" s="108">
        <f>D671+D674+D677+D679</f>
        <v>39665</v>
      </c>
      <c r="E666" s="108"/>
      <c r="F666" s="108">
        <f t="shared" si="202"/>
        <v>456980</v>
      </c>
      <c r="G666" s="108">
        <f t="shared" ref="G666" si="206">G671+G674+G677+G679+G667+G669</f>
        <v>462680</v>
      </c>
      <c r="H666" s="486">
        <f t="shared" si="195"/>
        <v>45365</v>
      </c>
      <c r="I666" s="270">
        <f t="shared" si="199"/>
        <v>0.10870685213807316</v>
      </c>
      <c r="J666" s="486">
        <f t="shared" si="196"/>
        <v>5700</v>
      </c>
      <c r="K666" s="270">
        <f t="shared" si="197"/>
        <v>1.2473193575211169E-2</v>
      </c>
    </row>
    <row r="667" spans="1:11">
      <c r="A667" s="111" t="s">
        <v>56</v>
      </c>
      <c r="B667" s="108">
        <f>B668</f>
        <v>23000</v>
      </c>
      <c r="C667" s="21"/>
      <c r="D667" s="108"/>
      <c r="E667" s="108"/>
      <c r="F667" s="108">
        <f t="shared" si="202"/>
        <v>23000</v>
      </c>
      <c r="G667" s="108">
        <f t="shared" ref="G667" si="207">G668</f>
        <v>23000</v>
      </c>
      <c r="H667" s="486">
        <f t="shared" si="195"/>
        <v>0</v>
      </c>
      <c r="I667" s="270">
        <f t="shared" si="199"/>
        <v>0</v>
      </c>
      <c r="J667" s="486">
        <f t="shared" si="196"/>
        <v>0</v>
      </c>
      <c r="K667" s="270">
        <f t="shared" si="197"/>
        <v>0</v>
      </c>
    </row>
    <row r="668" spans="1:11">
      <c r="A668" s="82" t="s">
        <v>85</v>
      </c>
      <c r="B668" s="118">
        <v>23000</v>
      </c>
      <c r="C668" s="21"/>
      <c r="D668" s="108"/>
      <c r="E668" s="108"/>
      <c r="F668" s="118">
        <f t="shared" si="202"/>
        <v>23000</v>
      </c>
      <c r="G668" s="118">
        <v>23000</v>
      </c>
      <c r="H668" s="486">
        <f t="shared" si="195"/>
        <v>0</v>
      </c>
      <c r="I668" s="270">
        <f t="shared" si="199"/>
        <v>0</v>
      </c>
      <c r="J668" s="486">
        <f t="shared" si="196"/>
        <v>0</v>
      </c>
      <c r="K668" s="270">
        <f t="shared" si="197"/>
        <v>0</v>
      </c>
    </row>
    <row r="669" spans="1:11">
      <c r="A669" s="111" t="s">
        <v>53</v>
      </c>
      <c r="B669" s="108">
        <f>B670</f>
        <v>26000</v>
      </c>
      <c r="C669" s="21"/>
      <c r="D669" s="108"/>
      <c r="E669" s="108"/>
      <c r="F669" s="108">
        <f t="shared" si="202"/>
        <v>26000</v>
      </c>
      <c r="G669" s="108">
        <f t="shared" ref="G669" si="208">G670</f>
        <v>26000</v>
      </c>
      <c r="H669" s="486">
        <f t="shared" si="195"/>
        <v>0</v>
      </c>
      <c r="I669" s="270">
        <f t="shared" si="199"/>
        <v>0</v>
      </c>
      <c r="J669" s="486">
        <f t="shared" si="196"/>
        <v>0</v>
      </c>
      <c r="K669" s="270">
        <f t="shared" si="197"/>
        <v>0</v>
      </c>
    </row>
    <row r="670" spans="1:11">
      <c r="A670" s="82" t="s">
        <v>181</v>
      </c>
      <c r="B670" s="118">
        <v>26000</v>
      </c>
      <c r="C670" s="21"/>
      <c r="D670" s="108"/>
      <c r="E670" s="108"/>
      <c r="F670" s="118">
        <f t="shared" si="202"/>
        <v>26000</v>
      </c>
      <c r="G670" s="118">
        <v>26000</v>
      </c>
      <c r="H670" s="486">
        <f t="shared" si="195"/>
        <v>0</v>
      </c>
      <c r="I670" s="270">
        <f t="shared" si="199"/>
        <v>0</v>
      </c>
      <c r="J670" s="486">
        <f t="shared" si="196"/>
        <v>0</v>
      </c>
      <c r="K670" s="270">
        <f t="shared" si="197"/>
        <v>0</v>
      </c>
    </row>
    <row r="671" spans="1:11">
      <c r="A671" s="111" t="s">
        <v>59</v>
      </c>
      <c r="B671" s="108">
        <f>B672+B673</f>
        <v>3025</v>
      </c>
      <c r="C671" s="21"/>
      <c r="D671" s="108">
        <f>D673</f>
        <v>1245</v>
      </c>
      <c r="E671" s="108"/>
      <c r="F671" s="108">
        <f t="shared" si="202"/>
        <v>4270</v>
      </c>
      <c r="G671" s="108">
        <v>4270</v>
      </c>
      <c r="H671" s="486">
        <f t="shared" si="195"/>
        <v>1245</v>
      </c>
      <c r="I671" s="270">
        <f t="shared" si="199"/>
        <v>0.4115702479338843</v>
      </c>
      <c r="J671" s="486">
        <f t="shared" si="196"/>
        <v>0</v>
      </c>
      <c r="K671" s="270">
        <f t="shared" si="197"/>
        <v>0</v>
      </c>
    </row>
    <row r="672" spans="1:11">
      <c r="A672" s="82" t="s">
        <v>86</v>
      </c>
      <c r="B672" s="118">
        <v>1270</v>
      </c>
      <c r="C672" s="21"/>
      <c r="D672" s="108"/>
      <c r="E672" s="108"/>
      <c r="F672" s="118">
        <f t="shared" si="202"/>
        <v>1270</v>
      </c>
      <c r="G672" s="118">
        <v>1270</v>
      </c>
      <c r="H672" s="486">
        <f t="shared" si="195"/>
        <v>0</v>
      </c>
      <c r="I672" s="270">
        <f t="shared" si="199"/>
        <v>0</v>
      </c>
      <c r="J672" s="486">
        <f t="shared" si="196"/>
        <v>0</v>
      </c>
      <c r="K672" s="270">
        <f t="shared" si="197"/>
        <v>0</v>
      </c>
    </row>
    <row r="673" spans="1:11">
      <c r="A673" s="82" t="s">
        <v>70</v>
      </c>
      <c r="B673" s="118">
        <v>1755</v>
      </c>
      <c r="C673" s="21"/>
      <c r="D673" s="118">
        <v>1245</v>
      </c>
      <c r="E673" s="118"/>
      <c r="F673" s="118">
        <f t="shared" si="202"/>
        <v>3000</v>
      </c>
      <c r="G673" s="118">
        <v>3000</v>
      </c>
      <c r="H673" s="486">
        <f t="shared" si="195"/>
        <v>1245</v>
      </c>
      <c r="I673" s="270">
        <f t="shared" si="199"/>
        <v>0.70940170940170943</v>
      </c>
      <c r="J673" s="486">
        <f t="shared" si="196"/>
        <v>0</v>
      </c>
      <c r="K673" s="270">
        <f t="shared" si="197"/>
        <v>0</v>
      </c>
    </row>
    <row r="674" spans="1:11">
      <c r="A674" s="111" t="s">
        <v>51</v>
      </c>
      <c r="B674" s="108">
        <f>SUM(B675:B676)</f>
        <v>193850</v>
      </c>
      <c r="C674" s="21"/>
      <c r="D674" s="108">
        <f>SUM(D675:D676)</f>
        <v>36560</v>
      </c>
      <c r="E674" s="108"/>
      <c r="F674" s="108">
        <f t="shared" si="202"/>
        <v>230410</v>
      </c>
      <c r="G674" s="108">
        <v>243410</v>
      </c>
      <c r="H674" s="486">
        <f t="shared" si="195"/>
        <v>49560</v>
      </c>
      <c r="I674" s="270">
        <f t="shared" si="199"/>
        <v>0.25566159401599176</v>
      </c>
      <c r="J674" s="486">
        <f t="shared" si="196"/>
        <v>13000</v>
      </c>
      <c r="K674" s="270">
        <f t="shared" si="197"/>
        <v>5.6421162275942884E-2</v>
      </c>
    </row>
    <row r="675" spans="1:11">
      <c r="A675" s="82" t="s">
        <v>69</v>
      </c>
      <c r="B675" s="118">
        <v>140300</v>
      </c>
      <c r="C675" s="21"/>
      <c r="D675" s="118">
        <v>10700</v>
      </c>
      <c r="E675" s="118"/>
      <c r="F675" s="118">
        <f t="shared" si="202"/>
        <v>151000</v>
      </c>
      <c r="G675" s="118">
        <v>164000</v>
      </c>
      <c r="H675" s="486">
        <f t="shared" si="195"/>
        <v>23700</v>
      </c>
      <c r="I675" s="270">
        <f t="shared" si="199"/>
        <v>0.16892373485388454</v>
      </c>
      <c r="J675" s="486">
        <f t="shared" si="196"/>
        <v>13000</v>
      </c>
      <c r="K675" s="270">
        <f t="shared" si="197"/>
        <v>8.6092715231788075E-2</v>
      </c>
    </row>
    <row r="676" spans="1:11">
      <c r="A676" s="82" t="s">
        <v>70</v>
      </c>
      <c r="B676" s="118">
        <v>53550</v>
      </c>
      <c r="C676" s="21"/>
      <c r="D676" s="118">
        <v>25860</v>
      </c>
      <c r="E676" s="118"/>
      <c r="F676" s="118">
        <f t="shared" si="202"/>
        <v>79410</v>
      </c>
      <c r="G676" s="118">
        <v>79410</v>
      </c>
      <c r="H676" s="486">
        <f t="shared" si="195"/>
        <v>25860</v>
      </c>
      <c r="I676" s="270">
        <f t="shared" si="199"/>
        <v>0.48291316526610645</v>
      </c>
      <c r="J676" s="486">
        <f t="shared" si="196"/>
        <v>0</v>
      </c>
      <c r="K676" s="270">
        <f t="shared" si="197"/>
        <v>0</v>
      </c>
    </row>
    <row r="677" spans="1:11">
      <c r="A677" s="111" t="s">
        <v>58</v>
      </c>
      <c r="B677" s="108">
        <f>B678</f>
        <v>50000</v>
      </c>
      <c r="C677" s="21"/>
      <c r="D677" s="108">
        <f>D678</f>
        <v>5500</v>
      </c>
      <c r="E677" s="108"/>
      <c r="F677" s="108">
        <f t="shared" si="202"/>
        <v>55500</v>
      </c>
      <c r="G677" s="108">
        <f t="shared" ref="G677" si="209">G678</f>
        <v>50000</v>
      </c>
      <c r="H677" s="486">
        <f t="shared" si="195"/>
        <v>0</v>
      </c>
      <c r="I677" s="270">
        <f t="shared" si="199"/>
        <v>0</v>
      </c>
      <c r="J677" s="486">
        <f t="shared" si="196"/>
        <v>-5500</v>
      </c>
      <c r="K677" s="270">
        <f t="shared" si="197"/>
        <v>-9.90990990990991E-2</v>
      </c>
    </row>
    <row r="678" spans="1:11">
      <c r="A678" s="83" t="s">
        <v>94</v>
      </c>
      <c r="B678" s="112">
        <v>50000</v>
      </c>
      <c r="C678" s="21"/>
      <c r="D678" s="118">
        <v>5500</v>
      </c>
      <c r="E678" s="118"/>
      <c r="F678" s="112">
        <f t="shared" si="202"/>
        <v>55500</v>
      </c>
      <c r="G678" s="112">
        <v>50000</v>
      </c>
      <c r="H678" s="489">
        <f t="shared" si="195"/>
        <v>0</v>
      </c>
      <c r="I678" s="284">
        <f t="shared" si="199"/>
        <v>0</v>
      </c>
      <c r="J678" s="489">
        <f t="shared" si="196"/>
        <v>-5500</v>
      </c>
      <c r="K678" s="284">
        <f t="shared" si="197"/>
        <v>-9.90990990990991E-2</v>
      </c>
    </row>
    <row r="679" spans="1:11">
      <c r="A679" s="111" t="s">
        <v>52</v>
      </c>
      <c r="B679" s="108">
        <f>SUM(B680:B682)</f>
        <v>121440</v>
      </c>
      <c r="C679" s="21"/>
      <c r="D679" s="108">
        <f>SUM(D680:D681)</f>
        <v>-3640</v>
      </c>
      <c r="E679" s="108"/>
      <c r="F679" s="108">
        <f t="shared" si="202"/>
        <v>117800</v>
      </c>
      <c r="G679" s="108">
        <v>116000</v>
      </c>
      <c r="H679" s="486">
        <f t="shared" si="195"/>
        <v>-5440</v>
      </c>
      <c r="I679" s="270">
        <f t="shared" si="199"/>
        <v>-4.4795783926218712E-2</v>
      </c>
      <c r="J679" s="486">
        <f t="shared" si="196"/>
        <v>-1800</v>
      </c>
      <c r="K679" s="270">
        <f t="shared" si="197"/>
        <v>-1.5280135823429542E-2</v>
      </c>
    </row>
    <row r="680" spans="1:11">
      <c r="A680" s="82" t="s">
        <v>92</v>
      </c>
      <c r="B680" s="118">
        <v>38440</v>
      </c>
      <c r="C680" s="21"/>
      <c r="D680" s="118">
        <v>2360</v>
      </c>
      <c r="E680" s="118"/>
      <c r="F680" s="118">
        <f t="shared" si="202"/>
        <v>40800</v>
      </c>
      <c r="G680" s="118">
        <v>39000</v>
      </c>
      <c r="H680" s="486">
        <f t="shared" si="195"/>
        <v>560</v>
      </c>
      <c r="I680" s="270">
        <f t="shared" si="199"/>
        <v>1.4568158168574402E-2</v>
      </c>
      <c r="J680" s="486">
        <f t="shared" si="196"/>
        <v>-1800</v>
      </c>
      <c r="K680" s="270">
        <f t="shared" si="197"/>
        <v>-4.4117647058823532E-2</v>
      </c>
    </row>
    <row r="681" spans="1:11">
      <c r="A681" s="83" t="s">
        <v>84</v>
      </c>
      <c r="B681" s="112">
        <v>40000</v>
      </c>
      <c r="C681" s="21"/>
      <c r="D681" s="118">
        <v>-6000</v>
      </c>
      <c r="E681" s="118"/>
      <c r="F681" s="112">
        <f t="shared" si="202"/>
        <v>34000</v>
      </c>
      <c r="G681" s="112">
        <v>34000</v>
      </c>
      <c r="H681" s="489">
        <f t="shared" si="195"/>
        <v>-6000</v>
      </c>
      <c r="I681" s="284">
        <f t="shared" si="199"/>
        <v>-0.15</v>
      </c>
      <c r="J681" s="489">
        <f t="shared" si="196"/>
        <v>0</v>
      </c>
      <c r="K681" s="284">
        <f t="shared" si="197"/>
        <v>0</v>
      </c>
    </row>
    <row r="682" spans="1:11">
      <c r="A682" s="82" t="s">
        <v>257</v>
      </c>
      <c r="B682" s="118">
        <v>43000</v>
      </c>
      <c r="C682" s="21"/>
      <c r="D682" s="118"/>
      <c r="E682" s="118"/>
      <c r="F682" s="118">
        <f t="shared" si="202"/>
        <v>43000</v>
      </c>
      <c r="G682" s="118">
        <v>43000</v>
      </c>
      <c r="H682" s="486">
        <f t="shared" si="195"/>
        <v>0</v>
      </c>
      <c r="I682" s="270">
        <f t="shared" si="199"/>
        <v>0</v>
      </c>
      <c r="J682" s="486">
        <f t="shared" si="196"/>
        <v>0</v>
      </c>
      <c r="K682" s="270">
        <f t="shared" si="197"/>
        <v>0</v>
      </c>
    </row>
    <row r="683" spans="1:11">
      <c r="A683" s="83"/>
      <c r="B683" s="112"/>
      <c r="C683" s="21"/>
      <c r="D683" s="118"/>
      <c r="E683" s="118"/>
      <c r="F683" s="112">
        <f t="shared" si="202"/>
        <v>0</v>
      </c>
      <c r="G683" s="254"/>
      <c r="H683" s="489">
        <f t="shared" si="195"/>
        <v>0</v>
      </c>
      <c r="I683" s="284"/>
      <c r="J683" s="489">
        <f t="shared" si="196"/>
        <v>0</v>
      </c>
      <c r="K683" s="284" t="str">
        <f t="shared" si="197"/>
        <v/>
      </c>
    </row>
    <row r="684" spans="1:11">
      <c r="A684" s="178" t="s">
        <v>783</v>
      </c>
      <c r="B684" s="108">
        <f>B685+B690</f>
        <v>106770</v>
      </c>
      <c r="C684" s="21"/>
      <c r="D684" s="108">
        <f>D685+D690</f>
        <v>-12105</v>
      </c>
      <c r="E684" s="108">
        <f>E685+E690</f>
        <v>1600</v>
      </c>
      <c r="F684" s="108">
        <f t="shared" si="202"/>
        <v>96265</v>
      </c>
      <c r="G684" s="108">
        <f>G685+G690</f>
        <v>106970</v>
      </c>
      <c r="H684" s="486">
        <f t="shared" si="195"/>
        <v>200</v>
      </c>
      <c r="I684" s="270">
        <f t="shared" si="199"/>
        <v>1.8731853516905498E-3</v>
      </c>
      <c r="J684" s="486">
        <f t="shared" si="196"/>
        <v>10705</v>
      </c>
      <c r="K684" s="270">
        <f t="shared" si="197"/>
        <v>0.11120344881317197</v>
      </c>
    </row>
    <row r="685" spans="1:11">
      <c r="A685" s="111" t="s">
        <v>55</v>
      </c>
      <c r="B685" s="108">
        <f>SUM(B686:B689)</f>
        <v>91390</v>
      </c>
      <c r="C685" s="21"/>
      <c r="D685" s="108">
        <f>SUM(D687:D689)</f>
        <v>-12500</v>
      </c>
      <c r="E685" s="108">
        <f>SUM(E686:E689)</f>
        <v>-200</v>
      </c>
      <c r="F685" s="108">
        <f t="shared" si="202"/>
        <v>78690</v>
      </c>
      <c r="G685" s="108">
        <f>SUM(G686:G689)</f>
        <v>91210</v>
      </c>
      <c r="H685" s="486">
        <f t="shared" si="195"/>
        <v>-180</v>
      </c>
      <c r="I685" s="270">
        <f t="shared" si="199"/>
        <v>-1.9695809169493379E-3</v>
      </c>
      <c r="J685" s="486">
        <f t="shared" si="196"/>
        <v>12520</v>
      </c>
      <c r="K685" s="270">
        <f t="shared" si="197"/>
        <v>0.15910535010801879</v>
      </c>
    </row>
    <row r="686" spans="1:11">
      <c r="A686" s="83" t="s">
        <v>80</v>
      </c>
      <c r="B686" s="112">
        <v>27000</v>
      </c>
      <c r="C686" s="21"/>
      <c r="D686" s="108"/>
      <c r="E686" s="112">
        <v>-900</v>
      </c>
      <c r="F686" s="112">
        <f t="shared" si="202"/>
        <v>26100</v>
      </c>
      <c r="G686" s="112">
        <v>30000</v>
      </c>
      <c r="H686" s="489">
        <f t="shared" si="195"/>
        <v>3000</v>
      </c>
      <c r="I686" s="284">
        <f t="shared" si="199"/>
        <v>0.1111111111111111</v>
      </c>
      <c r="J686" s="489">
        <f t="shared" si="196"/>
        <v>3900</v>
      </c>
      <c r="K686" s="284">
        <f t="shared" si="197"/>
        <v>0.14942528735632185</v>
      </c>
    </row>
    <row r="687" spans="1:11">
      <c r="A687" s="83" t="s">
        <v>77</v>
      </c>
      <c r="B687" s="112">
        <v>25690</v>
      </c>
      <c r="C687" s="21"/>
      <c r="D687" s="118">
        <v>-6000</v>
      </c>
      <c r="E687" s="112"/>
      <c r="F687" s="112">
        <f t="shared" si="202"/>
        <v>19690</v>
      </c>
      <c r="G687" s="112">
        <f>22310+200</f>
        <v>22510</v>
      </c>
      <c r="H687" s="489">
        <f t="shared" si="195"/>
        <v>-3180</v>
      </c>
      <c r="I687" s="284">
        <f t="shared" si="199"/>
        <v>-0.12378357337485403</v>
      </c>
      <c r="J687" s="489">
        <f t="shared" si="196"/>
        <v>2820</v>
      </c>
      <c r="K687" s="284">
        <f t="shared" si="197"/>
        <v>0.14321990858303707</v>
      </c>
    </row>
    <row r="688" spans="1:11">
      <c r="A688" s="83" t="s">
        <v>82</v>
      </c>
      <c r="B688" s="112">
        <v>36000</v>
      </c>
      <c r="C688" s="21"/>
      <c r="D688" s="118">
        <v>-6000</v>
      </c>
      <c r="E688" s="118"/>
      <c r="F688" s="112">
        <f t="shared" si="202"/>
        <v>30000</v>
      </c>
      <c r="G688" s="112">
        <v>36000</v>
      </c>
      <c r="H688" s="489">
        <f t="shared" si="195"/>
        <v>0</v>
      </c>
      <c r="I688" s="284">
        <f t="shared" si="199"/>
        <v>0</v>
      </c>
      <c r="J688" s="489">
        <f t="shared" si="196"/>
        <v>6000</v>
      </c>
      <c r="K688" s="284">
        <f t="shared" si="197"/>
        <v>0.2</v>
      </c>
    </row>
    <row r="689" spans="1:11">
      <c r="A689" s="83" t="s">
        <v>76</v>
      </c>
      <c r="B689" s="112">
        <v>2700</v>
      </c>
      <c r="C689" s="21"/>
      <c r="D689" s="118">
        <v>-500</v>
      </c>
      <c r="E689" s="112">
        <v>700</v>
      </c>
      <c r="F689" s="112">
        <f t="shared" si="202"/>
        <v>2900</v>
      </c>
      <c r="G689" s="112">
        <v>2700</v>
      </c>
      <c r="H689" s="489">
        <f t="shared" si="195"/>
        <v>0</v>
      </c>
      <c r="I689" s="284">
        <f t="shared" si="199"/>
        <v>0</v>
      </c>
      <c r="J689" s="489">
        <f t="shared" si="196"/>
        <v>-200</v>
      </c>
      <c r="K689" s="284">
        <f t="shared" si="197"/>
        <v>-6.8965517241379309E-2</v>
      </c>
    </row>
    <row r="690" spans="1:11">
      <c r="A690" s="111" t="s">
        <v>51</v>
      </c>
      <c r="B690" s="108">
        <f>SUM(B691:B692)</f>
        <v>15380</v>
      </c>
      <c r="C690" s="21"/>
      <c r="D690" s="108">
        <f>SUM(D691:D691)</f>
        <v>395</v>
      </c>
      <c r="E690" s="108">
        <f>E691+E692</f>
        <v>1800</v>
      </c>
      <c r="F690" s="108">
        <f t="shared" si="202"/>
        <v>17575</v>
      </c>
      <c r="G690" s="108">
        <f>G691+G692</f>
        <v>15760</v>
      </c>
      <c r="H690" s="486">
        <f t="shared" si="195"/>
        <v>380</v>
      </c>
      <c r="I690" s="270">
        <f t="shared" si="199"/>
        <v>2.47074122236671E-2</v>
      </c>
      <c r="J690" s="486">
        <f t="shared" si="196"/>
        <v>-1815</v>
      </c>
      <c r="K690" s="270">
        <f t="shared" si="197"/>
        <v>-0.10327169274537695</v>
      </c>
    </row>
    <row r="691" spans="1:11">
      <c r="A691" s="82" t="s">
        <v>69</v>
      </c>
      <c r="B691" s="118">
        <v>9980</v>
      </c>
      <c r="C691" s="21"/>
      <c r="D691" s="118">
        <v>395</v>
      </c>
      <c r="E691" s="118"/>
      <c r="F691" s="118">
        <f t="shared" si="202"/>
        <v>10375</v>
      </c>
      <c r="G691" s="118">
        <v>10160</v>
      </c>
      <c r="H691" s="486">
        <f t="shared" si="195"/>
        <v>180</v>
      </c>
      <c r="I691" s="270">
        <f t="shared" si="199"/>
        <v>1.8036072144288578E-2</v>
      </c>
      <c r="J691" s="486">
        <f t="shared" si="196"/>
        <v>-215</v>
      </c>
      <c r="K691" s="270">
        <f t="shared" si="197"/>
        <v>-2.0722891566265059E-2</v>
      </c>
    </row>
    <row r="692" spans="1:11">
      <c r="A692" s="82" t="s">
        <v>70</v>
      </c>
      <c r="B692" s="118">
        <v>5400</v>
      </c>
      <c r="C692" s="21"/>
      <c r="D692" s="118"/>
      <c r="E692" s="118">
        <v>1800</v>
      </c>
      <c r="F692" s="118">
        <f t="shared" si="202"/>
        <v>7200</v>
      </c>
      <c r="G692" s="118">
        <v>5600</v>
      </c>
      <c r="H692" s="486">
        <f t="shared" si="195"/>
        <v>200</v>
      </c>
      <c r="I692" s="270">
        <f t="shared" si="199"/>
        <v>3.7037037037037035E-2</v>
      </c>
      <c r="J692" s="486">
        <f t="shared" si="196"/>
        <v>-1600</v>
      </c>
      <c r="K692" s="270">
        <f t="shared" si="197"/>
        <v>-0.22222222222222221</v>
      </c>
    </row>
    <row r="693" spans="1:11">
      <c r="A693" s="111"/>
      <c r="B693" s="108"/>
      <c r="C693" s="21"/>
      <c r="D693" s="108"/>
      <c r="E693" s="108"/>
      <c r="F693" s="108">
        <f t="shared" si="202"/>
        <v>0</v>
      </c>
      <c r="G693" s="254"/>
      <c r="H693" s="486">
        <f t="shared" si="195"/>
        <v>0</v>
      </c>
      <c r="I693" s="270"/>
      <c r="J693" s="486">
        <f t="shared" si="196"/>
        <v>0</v>
      </c>
      <c r="K693" s="270" t="str">
        <f t="shared" si="197"/>
        <v/>
      </c>
    </row>
    <row r="694" spans="1:11">
      <c r="A694" s="111" t="s">
        <v>784</v>
      </c>
      <c r="B694" s="108">
        <f>B695+B699</f>
        <v>33300</v>
      </c>
      <c r="C694" s="21"/>
      <c r="D694" s="108"/>
      <c r="E694" s="108">
        <f>E695+E699</f>
        <v>13000</v>
      </c>
      <c r="F694" s="108">
        <f t="shared" si="202"/>
        <v>46300</v>
      </c>
      <c r="G694" s="108">
        <f t="shared" ref="G694" si="210">G695+G699</f>
        <v>33300</v>
      </c>
      <c r="H694" s="108">
        <f t="shared" si="195"/>
        <v>0</v>
      </c>
      <c r="I694" s="158">
        <f t="shared" si="199"/>
        <v>0</v>
      </c>
      <c r="J694" s="108">
        <f t="shared" si="196"/>
        <v>-13000</v>
      </c>
      <c r="K694" s="158">
        <f t="shared" si="197"/>
        <v>-0.28077753779697623</v>
      </c>
    </row>
    <row r="695" spans="1:11">
      <c r="A695" s="111" t="s">
        <v>61</v>
      </c>
      <c r="B695" s="108">
        <f>B696+B697+B698</f>
        <v>21000</v>
      </c>
      <c r="C695" s="21"/>
      <c r="D695" s="108"/>
      <c r="E695" s="108">
        <f>SUM(E696:E698)</f>
        <v>7500</v>
      </c>
      <c r="F695" s="108">
        <f t="shared" si="202"/>
        <v>28500</v>
      </c>
      <c r="G695" s="108">
        <f t="shared" ref="G695" si="211">G696+G697+G698</f>
        <v>21000</v>
      </c>
      <c r="H695" s="108">
        <f t="shared" si="195"/>
        <v>0</v>
      </c>
      <c r="I695" s="158">
        <f t="shared" si="199"/>
        <v>0</v>
      </c>
      <c r="J695" s="108">
        <f t="shared" si="196"/>
        <v>-7500</v>
      </c>
      <c r="K695" s="158">
        <f t="shared" si="197"/>
        <v>-0.26315789473684209</v>
      </c>
    </row>
    <row r="696" spans="1:11">
      <c r="A696" s="83" t="s">
        <v>75</v>
      </c>
      <c r="B696" s="112">
        <v>9000</v>
      </c>
      <c r="C696" s="21"/>
      <c r="D696" s="112"/>
      <c r="E696" s="112">
        <v>2000</v>
      </c>
      <c r="F696" s="112">
        <f t="shared" si="202"/>
        <v>11000</v>
      </c>
      <c r="G696" s="112">
        <v>9000</v>
      </c>
      <c r="H696" s="112">
        <f t="shared" si="195"/>
        <v>0</v>
      </c>
      <c r="I696" s="186">
        <f t="shared" si="199"/>
        <v>0</v>
      </c>
      <c r="J696" s="112">
        <f t="shared" si="196"/>
        <v>-2000</v>
      </c>
      <c r="K696" s="186">
        <f t="shared" si="197"/>
        <v>-0.18181818181818182</v>
      </c>
    </row>
    <row r="697" spans="1:11">
      <c r="A697" s="83" t="s">
        <v>72</v>
      </c>
      <c r="B697" s="112">
        <v>8000</v>
      </c>
      <c r="C697" s="21"/>
      <c r="D697" s="112"/>
      <c r="E697" s="112">
        <v>6000</v>
      </c>
      <c r="F697" s="112">
        <f t="shared" si="202"/>
        <v>14000</v>
      </c>
      <c r="G697" s="112">
        <v>8000</v>
      </c>
      <c r="H697" s="112">
        <f t="shared" si="195"/>
        <v>0</v>
      </c>
      <c r="I697" s="186">
        <f t="shared" si="199"/>
        <v>0</v>
      </c>
      <c r="J697" s="112">
        <f t="shared" si="196"/>
        <v>-6000</v>
      </c>
      <c r="K697" s="186">
        <f t="shared" si="197"/>
        <v>-0.42857142857142855</v>
      </c>
    </row>
    <row r="698" spans="1:11">
      <c r="A698" s="82" t="s">
        <v>183</v>
      </c>
      <c r="B698" s="118">
        <v>4000</v>
      </c>
      <c r="C698" s="21"/>
      <c r="D698" s="118"/>
      <c r="E698" s="118">
        <v>-500</v>
      </c>
      <c r="F698" s="118">
        <f t="shared" si="202"/>
        <v>3500</v>
      </c>
      <c r="G698" s="118">
        <v>4000</v>
      </c>
      <c r="H698" s="118">
        <f t="shared" si="195"/>
        <v>0</v>
      </c>
      <c r="I698" s="159">
        <f t="shared" si="199"/>
        <v>0</v>
      </c>
      <c r="J698" s="118">
        <f t="shared" si="196"/>
        <v>500</v>
      </c>
      <c r="K698" s="159">
        <f t="shared" si="197"/>
        <v>0.14285714285714285</v>
      </c>
    </row>
    <row r="699" spans="1:11">
      <c r="A699" s="111" t="s">
        <v>56</v>
      </c>
      <c r="B699" s="108">
        <f>B700+B701+B702</f>
        <v>12300</v>
      </c>
      <c r="C699" s="21"/>
      <c r="D699" s="108"/>
      <c r="E699" s="108">
        <f t="shared" ref="E699" si="212">E700+E701+E702</f>
        <v>5500</v>
      </c>
      <c r="F699" s="108">
        <f t="shared" si="202"/>
        <v>17800</v>
      </c>
      <c r="G699" s="108">
        <f t="shared" ref="G699" si="213">G700+G701+G702</f>
        <v>12300</v>
      </c>
      <c r="H699" s="108">
        <f t="shared" si="195"/>
        <v>0</v>
      </c>
      <c r="I699" s="158">
        <f t="shared" si="199"/>
        <v>0</v>
      </c>
      <c r="J699" s="108">
        <f t="shared" si="196"/>
        <v>-5500</v>
      </c>
      <c r="K699" s="158">
        <f t="shared" si="197"/>
        <v>-0.3089887640449438</v>
      </c>
    </row>
    <row r="700" spans="1:11">
      <c r="A700" s="83" t="s">
        <v>75</v>
      </c>
      <c r="B700" s="112">
        <v>800</v>
      </c>
      <c r="C700" s="21"/>
      <c r="D700" s="112"/>
      <c r="E700" s="112">
        <v>4200</v>
      </c>
      <c r="F700" s="112">
        <f t="shared" si="202"/>
        <v>5000</v>
      </c>
      <c r="G700" s="112">
        <v>3000</v>
      </c>
      <c r="H700" s="112">
        <f t="shared" si="195"/>
        <v>2200</v>
      </c>
      <c r="I700" s="186">
        <f t="shared" si="199"/>
        <v>2.75</v>
      </c>
      <c r="J700" s="112">
        <f t="shared" si="196"/>
        <v>-2000</v>
      </c>
      <c r="K700" s="186">
        <f t="shared" si="197"/>
        <v>-0.4</v>
      </c>
    </row>
    <row r="701" spans="1:11">
      <c r="A701" s="83" t="s">
        <v>208</v>
      </c>
      <c r="B701" s="112">
        <v>7500</v>
      </c>
      <c r="C701" s="21"/>
      <c r="D701" s="112"/>
      <c r="E701" s="112"/>
      <c r="F701" s="112">
        <f t="shared" si="202"/>
        <v>7500</v>
      </c>
      <c r="G701" s="112">
        <v>4000</v>
      </c>
      <c r="H701" s="112">
        <f t="shared" si="195"/>
        <v>-3500</v>
      </c>
      <c r="I701" s="186">
        <f t="shared" si="199"/>
        <v>-0.46666666666666667</v>
      </c>
      <c r="J701" s="112">
        <f t="shared" si="196"/>
        <v>-3500</v>
      </c>
      <c r="K701" s="186">
        <f t="shared" si="197"/>
        <v>-0.46666666666666667</v>
      </c>
    </row>
    <row r="702" spans="1:11">
      <c r="A702" s="83" t="s">
        <v>79</v>
      </c>
      <c r="B702" s="112">
        <v>4000</v>
      </c>
      <c r="C702" s="21"/>
      <c r="D702" s="112"/>
      <c r="E702" s="112">
        <v>1300</v>
      </c>
      <c r="F702" s="112">
        <f t="shared" si="202"/>
        <v>5300</v>
      </c>
      <c r="G702" s="112">
        <v>5300</v>
      </c>
      <c r="H702" s="112">
        <f t="shared" ref="H702:H765" si="214">G702-B702</f>
        <v>1300</v>
      </c>
      <c r="I702" s="186">
        <f t="shared" ref="I702:I765" si="215">H702/B702</f>
        <v>0.32500000000000001</v>
      </c>
      <c r="J702" s="112">
        <f t="shared" ref="J702:J765" si="216">G702-F702</f>
        <v>0</v>
      </c>
      <c r="K702" s="186">
        <f t="shared" ref="K702:K765" si="217">IF(G702=0,"",J702/F702)</f>
        <v>0</v>
      </c>
    </row>
    <row r="703" spans="1:11">
      <c r="A703" s="111"/>
      <c r="B703" s="108"/>
      <c r="C703" s="21"/>
      <c r="D703" s="108"/>
      <c r="E703" s="108"/>
      <c r="F703" s="108">
        <f t="shared" si="202"/>
        <v>0</v>
      </c>
      <c r="G703" s="254"/>
      <c r="H703" s="108">
        <f t="shared" si="214"/>
        <v>0</v>
      </c>
      <c r="I703" s="158"/>
      <c r="J703" s="108">
        <f t="shared" si="216"/>
        <v>0</v>
      </c>
      <c r="K703" s="158" t="str">
        <f t="shared" si="217"/>
        <v/>
      </c>
    </row>
    <row r="704" spans="1:11">
      <c r="A704" s="111" t="s">
        <v>785</v>
      </c>
      <c r="B704" s="108">
        <f>B705+B709+B712</f>
        <v>215270</v>
      </c>
      <c r="C704" s="21"/>
      <c r="D704" s="108"/>
      <c r="E704" s="108">
        <f t="shared" ref="E704" si="218">E705+E709+E712</f>
        <v>10500</v>
      </c>
      <c r="F704" s="108">
        <f t="shared" si="202"/>
        <v>225770</v>
      </c>
      <c r="G704" s="108">
        <f t="shared" ref="G704" si="219">G705+G709+G712</f>
        <v>215270</v>
      </c>
      <c r="H704" s="108">
        <f t="shared" si="214"/>
        <v>0</v>
      </c>
      <c r="I704" s="158">
        <f t="shared" si="215"/>
        <v>0</v>
      </c>
      <c r="J704" s="108">
        <f t="shared" si="216"/>
        <v>-10500</v>
      </c>
      <c r="K704" s="158">
        <f t="shared" si="217"/>
        <v>-4.6507507640519113E-2</v>
      </c>
    </row>
    <row r="705" spans="1:11">
      <c r="A705" s="111" t="s">
        <v>61</v>
      </c>
      <c r="B705" s="108">
        <f>SUM(B706:B708)</f>
        <v>163650</v>
      </c>
      <c r="C705" s="21"/>
      <c r="D705" s="108"/>
      <c r="E705" s="108">
        <f t="shared" ref="E705" si="220">SUM(E706:E708)</f>
        <v>5000</v>
      </c>
      <c r="F705" s="108">
        <f t="shared" si="202"/>
        <v>168650</v>
      </c>
      <c r="G705" s="108">
        <f t="shared" ref="G705" si="221">SUM(G706:G708)</f>
        <v>163650</v>
      </c>
      <c r="H705" s="108">
        <f t="shared" si="214"/>
        <v>0</v>
      </c>
      <c r="I705" s="158">
        <f t="shared" si="215"/>
        <v>0</v>
      </c>
      <c r="J705" s="108">
        <f t="shared" si="216"/>
        <v>-5000</v>
      </c>
      <c r="K705" s="158">
        <f t="shared" si="217"/>
        <v>-2.9647198339756892E-2</v>
      </c>
    </row>
    <row r="706" spans="1:11">
      <c r="A706" s="82" t="s">
        <v>95</v>
      </c>
      <c r="B706" s="118">
        <v>4200</v>
      </c>
      <c r="C706" s="21"/>
      <c r="D706" s="118"/>
      <c r="E706" s="118">
        <v>4000</v>
      </c>
      <c r="F706" s="118">
        <f t="shared" si="202"/>
        <v>8200</v>
      </c>
      <c r="G706" s="118">
        <v>4200</v>
      </c>
      <c r="H706" s="118">
        <f t="shared" si="214"/>
        <v>0</v>
      </c>
      <c r="I706" s="159">
        <f t="shared" si="215"/>
        <v>0</v>
      </c>
      <c r="J706" s="118">
        <f t="shared" si="216"/>
        <v>-4000</v>
      </c>
      <c r="K706" s="159">
        <f t="shared" si="217"/>
        <v>-0.48780487804878048</v>
      </c>
    </row>
    <row r="707" spans="1:11">
      <c r="A707" s="83" t="s">
        <v>88</v>
      </c>
      <c r="B707" s="112">
        <v>156000</v>
      </c>
      <c r="C707" s="21"/>
      <c r="D707" s="112"/>
      <c r="E707" s="112">
        <v>1000</v>
      </c>
      <c r="F707" s="112">
        <f t="shared" si="202"/>
        <v>157000</v>
      </c>
      <c r="G707" s="112">
        <v>156000</v>
      </c>
      <c r="H707" s="112">
        <f t="shared" si="214"/>
        <v>0</v>
      </c>
      <c r="I707" s="186">
        <f t="shared" si="215"/>
        <v>0</v>
      </c>
      <c r="J707" s="112">
        <f t="shared" si="216"/>
        <v>-1000</v>
      </c>
      <c r="K707" s="186">
        <f t="shared" si="217"/>
        <v>-6.369426751592357E-3</v>
      </c>
    </row>
    <row r="708" spans="1:11">
      <c r="A708" s="83" t="s">
        <v>180</v>
      </c>
      <c r="B708" s="112">
        <v>3450</v>
      </c>
      <c r="C708" s="21"/>
      <c r="D708" s="112"/>
      <c r="E708" s="112"/>
      <c r="F708" s="112">
        <f t="shared" si="202"/>
        <v>3450</v>
      </c>
      <c r="G708" s="112">
        <v>3450</v>
      </c>
      <c r="H708" s="112">
        <f t="shared" si="214"/>
        <v>0</v>
      </c>
      <c r="I708" s="186">
        <f t="shared" si="215"/>
        <v>0</v>
      </c>
      <c r="J708" s="112">
        <f t="shared" si="216"/>
        <v>0</v>
      </c>
      <c r="K708" s="186">
        <f t="shared" si="217"/>
        <v>0</v>
      </c>
    </row>
    <row r="709" spans="1:11">
      <c r="A709" s="111" t="s">
        <v>59</v>
      </c>
      <c r="B709" s="108">
        <f>SUM(B710:B711)</f>
        <v>42500</v>
      </c>
      <c r="C709" s="21"/>
      <c r="D709" s="108"/>
      <c r="E709" s="108">
        <f t="shared" ref="E709" si="222">SUM(E710:E711)</f>
        <v>3000</v>
      </c>
      <c r="F709" s="108">
        <f t="shared" si="202"/>
        <v>45500</v>
      </c>
      <c r="G709" s="108">
        <f t="shared" ref="G709" si="223">SUM(G710:G711)</f>
        <v>42500</v>
      </c>
      <c r="H709" s="108">
        <f t="shared" si="214"/>
        <v>0</v>
      </c>
      <c r="I709" s="158">
        <f t="shared" si="215"/>
        <v>0</v>
      </c>
      <c r="J709" s="108">
        <f t="shared" si="216"/>
        <v>-3000</v>
      </c>
      <c r="K709" s="158">
        <f t="shared" si="217"/>
        <v>-6.5934065934065936E-2</v>
      </c>
    </row>
    <row r="710" spans="1:11">
      <c r="A710" s="83" t="s">
        <v>86</v>
      </c>
      <c r="B710" s="112">
        <v>13500</v>
      </c>
      <c r="C710" s="21"/>
      <c r="D710" s="112"/>
      <c r="E710" s="112"/>
      <c r="F710" s="112">
        <f t="shared" si="202"/>
        <v>13500</v>
      </c>
      <c r="G710" s="112">
        <v>13500</v>
      </c>
      <c r="H710" s="112">
        <f t="shared" si="214"/>
        <v>0</v>
      </c>
      <c r="I710" s="186">
        <f t="shared" si="215"/>
        <v>0</v>
      </c>
      <c r="J710" s="112">
        <f t="shared" si="216"/>
        <v>0</v>
      </c>
      <c r="K710" s="186">
        <f t="shared" si="217"/>
        <v>0</v>
      </c>
    </row>
    <row r="711" spans="1:11">
      <c r="A711" s="82" t="s">
        <v>70</v>
      </c>
      <c r="B711" s="118">
        <v>29000</v>
      </c>
      <c r="C711" s="21"/>
      <c r="D711" s="118"/>
      <c r="E711" s="118">
        <v>3000</v>
      </c>
      <c r="F711" s="118">
        <f t="shared" ref="F711:F774" si="224">SUM(B711:E711)</f>
        <v>32000</v>
      </c>
      <c r="G711" s="118">
        <v>29000</v>
      </c>
      <c r="H711" s="118">
        <f t="shared" si="214"/>
        <v>0</v>
      </c>
      <c r="I711" s="159">
        <f t="shared" si="215"/>
        <v>0</v>
      </c>
      <c r="J711" s="118">
        <f t="shared" si="216"/>
        <v>-3000</v>
      </c>
      <c r="K711" s="159">
        <f t="shared" si="217"/>
        <v>-9.375E-2</v>
      </c>
    </row>
    <row r="712" spans="1:11">
      <c r="A712" s="111" t="s">
        <v>51</v>
      </c>
      <c r="B712" s="108">
        <f>SUM(B713:B714)</f>
        <v>9120</v>
      </c>
      <c r="C712" s="21"/>
      <c r="D712" s="108"/>
      <c r="E712" s="108">
        <f t="shared" ref="E712" si="225">SUM(E713:E714)</f>
        <v>2500</v>
      </c>
      <c r="F712" s="108">
        <f t="shared" si="224"/>
        <v>11620</v>
      </c>
      <c r="G712" s="108">
        <f t="shared" ref="G712" si="226">SUM(G713:G714)</f>
        <v>9120</v>
      </c>
      <c r="H712" s="108">
        <f t="shared" si="214"/>
        <v>0</v>
      </c>
      <c r="I712" s="158">
        <f t="shared" si="215"/>
        <v>0</v>
      </c>
      <c r="J712" s="108">
        <f t="shared" si="216"/>
        <v>-2500</v>
      </c>
      <c r="K712" s="158">
        <f t="shared" si="217"/>
        <v>-0.21514629948364888</v>
      </c>
    </row>
    <row r="713" spans="1:11">
      <c r="A713" s="82" t="s">
        <v>69</v>
      </c>
      <c r="B713" s="118">
        <v>1220</v>
      </c>
      <c r="C713" s="21"/>
      <c r="D713" s="118"/>
      <c r="E713" s="118"/>
      <c r="F713" s="118">
        <f t="shared" si="224"/>
        <v>1220</v>
      </c>
      <c r="G713" s="118">
        <v>1220</v>
      </c>
      <c r="H713" s="118">
        <f t="shared" si="214"/>
        <v>0</v>
      </c>
      <c r="I713" s="159">
        <f t="shared" si="215"/>
        <v>0</v>
      </c>
      <c r="J713" s="118">
        <f t="shared" si="216"/>
        <v>0</v>
      </c>
      <c r="K713" s="159">
        <f t="shared" si="217"/>
        <v>0</v>
      </c>
    </row>
    <row r="714" spans="1:11">
      <c r="A714" s="82" t="s">
        <v>70</v>
      </c>
      <c r="B714" s="118">
        <v>7900</v>
      </c>
      <c r="C714" s="21"/>
      <c r="D714" s="118"/>
      <c r="E714" s="118">
        <v>2500</v>
      </c>
      <c r="F714" s="118">
        <f t="shared" si="224"/>
        <v>10400</v>
      </c>
      <c r="G714" s="118">
        <v>7900</v>
      </c>
      <c r="H714" s="118">
        <f t="shared" si="214"/>
        <v>0</v>
      </c>
      <c r="I714" s="159">
        <f t="shared" si="215"/>
        <v>0</v>
      </c>
      <c r="J714" s="118">
        <f t="shared" si="216"/>
        <v>-2500</v>
      </c>
      <c r="K714" s="159">
        <f t="shared" si="217"/>
        <v>-0.24038461538461539</v>
      </c>
    </row>
    <row r="715" spans="1:11">
      <c r="A715" s="83"/>
      <c r="B715" s="112"/>
      <c r="C715" s="21"/>
      <c r="D715" s="112"/>
      <c r="E715" s="112"/>
      <c r="F715" s="112">
        <f t="shared" si="224"/>
        <v>0</v>
      </c>
      <c r="G715" s="254"/>
      <c r="H715" s="112">
        <f t="shared" si="214"/>
        <v>0</v>
      </c>
      <c r="I715" s="186"/>
      <c r="J715" s="112">
        <f t="shared" si="216"/>
        <v>0</v>
      </c>
      <c r="K715" s="186" t="str">
        <f t="shared" si="217"/>
        <v/>
      </c>
    </row>
    <row r="716" spans="1:11">
      <c r="A716" s="106" t="s">
        <v>786</v>
      </c>
      <c r="B716" s="107">
        <f>B718+B731</f>
        <v>268940</v>
      </c>
      <c r="C716" s="21"/>
      <c r="D716" s="107">
        <f>D718+D731</f>
        <v>8800</v>
      </c>
      <c r="E716" s="107">
        <f>E718+E731</f>
        <v>-12556</v>
      </c>
      <c r="F716" s="107">
        <f t="shared" si="224"/>
        <v>265184</v>
      </c>
      <c r="G716" s="107">
        <f>G718+G731</f>
        <v>297580</v>
      </c>
      <c r="H716" s="107">
        <f t="shared" si="214"/>
        <v>28640</v>
      </c>
      <c r="I716" s="156">
        <f t="shared" si="215"/>
        <v>0.10649215438387745</v>
      </c>
      <c r="J716" s="107">
        <f t="shared" si="216"/>
        <v>32396</v>
      </c>
      <c r="K716" s="156">
        <f t="shared" si="217"/>
        <v>0.12216423313623748</v>
      </c>
    </row>
    <row r="717" spans="1:11">
      <c r="A717" s="106"/>
      <c r="B717" s="107"/>
      <c r="C717" s="21"/>
      <c r="D717" s="107"/>
      <c r="E717" s="107"/>
      <c r="F717" s="107">
        <f t="shared" si="224"/>
        <v>0</v>
      </c>
      <c r="G717" s="254"/>
      <c r="H717" s="107">
        <f t="shared" si="214"/>
        <v>0</v>
      </c>
      <c r="I717" s="156"/>
      <c r="J717" s="107">
        <f t="shared" si="216"/>
        <v>0</v>
      </c>
      <c r="K717" s="156" t="str">
        <f t="shared" si="217"/>
        <v/>
      </c>
    </row>
    <row r="718" spans="1:11">
      <c r="A718" s="111" t="s">
        <v>787</v>
      </c>
      <c r="B718" s="108">
        <f>B719+B724+B726</f>
        <v>225160</v>
      </c>
      <c r="C718" s="21"/>
      <c r="D718" s="108">
        <f>D719+D724+D726</f>
        <v>8900</v>
      </c>
      <c r="E718" s="108">
        <f>E719+E724+E726</f>
        <v>-12556</v>
      </c>
      <c r="F718" s="108">
        <f t="shared" si="224"/>
        <v>221504</v>
      </c>
      <c r="G718" s="108">
        <f t="shared" ref="G718" si="227">G719+G724+G726</f>
        <v>240650</v>
      </c>
      <c r="H718" s="108">
        <f t="shared" si="214"/>
        <v>15490</v>
      </c>
      <c r="I718" s="158">
        <f t="shared" si="215"/>
        <v>6.8795523183513951E-2</v>
      </c>
      <c r="J718" s="108">
        <f t="shared" si="216"/>
        <v>19146</v>
      </c>
      <c r="K718" s="158">
        <f t="shared" si="217"/>
        <v>8.6436362323028024E-2</v>
      </c>
    </row>
    <row r="719" spans="1:11">
      <c r="A719" s="111" t="s">
        <v>51</v>
      </c>
      <c r="B719" s="108">
        <f>SUM(B720:B723)</f>
        <v>72160</v>
      </c>
      <c r="C719" s="21"/>
      <c r="D719" s="108">
        <f>SUM(D720:D723)</f>
        <v>-5535</v>
      </c>
      <c r="E719" s="108">
        <f>SUM(E720:E723)</f>
        <v>-1750</v>
      </c>
      <c r="F719" s="108">
        <f t="shared" si="224"/>
        <v>64875</v>
      </c>
      <c r="G719" s="108">
        <f t="shared" ref="G719" si="228">SUM(G720:G723)</f>
        <v>67650</v>
      </c>
      <c r="H719" s="108">
        <f t="shared" si="214"/>
        <v>-4510</v>
      </c>
      <c r="I719" s="158">
        <f t="shared" si="215"/>
        <v>-6.25E-2</v>
      </c>
      <c r="J719" s="108">
        <f t="shared" si="216"/>
        <v>2775</v>
      </c>
      <c r="K719" s="158">
        <f t="shared" si="217"/>
        <v>4.2774566473988439E-2</v>
      </c>
    </row>
    <row r="720" spans="1:11">
      <c r="A720" s="82" t="s">
        <v>69</v>
      </c>
      <c r="B720" s="118">
        <v>44640</v>
      </c>
      <c r="C720" s="21"/>
      <c r="D720" s="118">
        <v>1985</v>
      </c>
      <c r="E720" s="118"/>
      <c r="F720" s="118">
        <f t="shared" si="224"/>
        <v>46625</v>
      </c>
      <c r="G720" s="118">
        <v>47650</v>
      </c>
      <c r="H720" s="118">
        <f t="shared" si="214"/>
        <v>3010</v>
      </c>
      <c r="I720" s="159">
        <f t="shared" si="215"/>
        <v>6.7428315412186385E-2</v>
      </c>
      <c r="J720" s="118">
        <f t="shared" si="216"/>
        <v>1025</v>
      </c>
      <c r="K720" s="159">
        <f t="shared" si="217"/>
        <v>2.1983914209115281E-2</v>
      </c>
    </row>
    <row r="721" spans="1:11">
      <c r="A721" s="82" t="s">
        <v>70</v>
      </c>
      <c r="B721" s="118">
        <v>10000</v>
      </c>
      <c r="C721" s="21"/>
      <c r="D721" s="118"/>
      <c r="E721" s="118"/>
      <c r="F721" s="118">
        <f t="shared" si="224"/>
        <v>10000</v>
      </c>
      <c r="G721" s="118">
        <v>10000</v>
      </c>
      <c r="H721" s="118">
        <f t="shared" si="214"/>
        <v>0</v>
      </c>
      <c r="I721" s="159">
        <f t="shared" si="215"/>
        <v>0</v>
      </c>
      <c r="J721" s="118">
        <f t="shared" si="216"/>
        <v>0</v>
      </c>
      <c r="K721" s="159">
        <f t="shared" si="217"/>
        <v>0</v>
      </c>
    </row>
    <row r="722" spans="1:11">
      <c r="A722" s="82" t="s">
        <v>206</v>
      </c>
      <c r="B722" s="118">
        <v>10000</v>
      </c>
      <c r="C722" s="21"/>
      <c r="D722" s="118"/>
      <c r="E722" s="118">
        <v>-1750</v>
      </c>
      <c r="F722" s="118">
        <f t="shared" si="224"/>
        <v>8250</v>
      </c>
      <c r="G722" s="118">
        <v>10000</v>
      </c>
      <c r="H722" s="118">
        <f t="shared" si="214"/>
        <v>0</v>
      </c>
      <c r="I722" s="159">
        <f t="shared" si="215"/>
        <v>0</v>
      </c>
      <c r="J722" s="118">
        <f t="shared" si="216"/>
        <v>1750</v>
      </c>
      <c r="K722" s="159">
        <f t="shared" si="217"/>
        <v>0.21212121212121213</v>
      </c>
    </row>
    <row r="723" spans="1:11">
      <c r="A723" s="82" t="s">
        <v>77</v>
      </c>
      <c r="B723" s="118">
        <v>7520</v>
      </c>
      <c r="C723" s="21"/>
      <c r="D723" s="118">
        <v>-7520</v>
      </c>
      <c r="E723" s="118"/>
      <c r="F723" s="118">
        <f t="shared" si="224"/>
        <v>0</v>
      </c>
      <c r="G723" s="118"/>
      <c r="H723" s="118">
        <f t="shared" si="214"/>
        <v>-7520</v>
      </c>
      <c r="I723" s="159">
        <f t="shared" si="215"/>
        <v>-1</v>
      </c>
      <c r="J723" s="118">
        <f t="shared" si="216"/>
        <v>0</v>
      </c>
      <c r="K723" s="159" t="str">
        <f t="shared" si="217"/>
        <v/>
      </c>
    </row>
    <row r="724" spans="1:11">
      <c r="A724" s="111" t="s">
        <v>58</v>
      </c>
      <c r="B724" s="108">
        <f>B725</f>
        <v>64000</v>
      </c>
      <c r="C724" s="21"/>
      <c r="D724" s="108">
        <f>D725</f>
        <v>-3085</v>
      </c>
      <c r="E724" s="108">
        <f>E725</f>
        <v>-13886</v>
      </c>
      <c r="F724" s="108">
        <f t="shared" si="224"/>
        <v>47029</v>
      </c>
      <c r="G724" s="108">
        <f t="shared" ref="G724" si="229">G725</f>
        <v>64000</v>
      </c>
      <c r="H724" s="108">
        <f t="shared" si="214"/>
        <v>0</v>
      </c>
      <c r="I724" s="158">
        <f t="shared" si="215"/>
        <v>0</v>
      </c>
      <c r="J724" s="108">
        <f t="shared" si="216"/>
        <v>16971</v>
      </c>
      <c r="K724" s="158">
        <f t="shared" si="217"/>
        <v>0.36086244657551725</v>
      </c>
    </row>
    <row r="725" spans="1:11">
      <c r="A725" s="83" t="s">
        <v>94</v>
      </c>
      <c r="B725" s="112">
        <v>64000</v>
      </c>
      <c r="C725" s="21"/>
      <c r="D725" s="118">
        <v>-3085</v>
      </c>
      <c r="E725" s="112">
        <v>-13886</v>
      </c>
      <c r="F725" s="112">
        <f t="shared" si="224"/>
        <v>47029</v>
      </c>
      <c r="G725" s="112">
        <v>64000</v>
      </c>
      <c r="H725" s="112">
        <f t="shared" si="214"/>
        <v>0</v>
      </c>
      <c r="I725" s="186">
        <f t="shared" si="215"/>
        <v>0</v>
      </c>
      <c r="J725" s="112">
        <f t="shared" si="216"/>
        <v>16971</v>
      </c>
      <c r="K725" s="186">
        <f t="shared" si="217"/>
        <v>0.36086244657551725</v>
      </c>
    </row>
    <row r="726" spans="1:11">
      <c r="A726" s="119" t="s">
        <v>52</v>
      </c>
      <c r="B726" s="120">
        <f>SUM(B727:B728)</f>
        <v>89000</v>
      </c>
      <c r="C726" s="21"/>
      <c r="D726" s="108">
        <f>SUM(D729:D729)</f>
        <v>17520</v>
      </c>
      <c r="E726" s="120">
        <f>SUM(E727:E729)</f>
        <v>3080</v>
      </c>
      <c r="F726" s="120">
        <f t="shared" si="224"/>
        <v>109600</v>
      </c>
      <c r="G726" s="120">
        <f>SUM(G727:G729)</f>
        <v>109000</v>
      </c>
      <c r="H726" s="120">
        <f t="shared" si="214"/>
        <v>20000</v>
      </c>
      <c r="I726" s="187">
        <f t="shared" si="215"/>
        <v>0.2247191011235955</v>
      </c>
      <c r="J726" s="120">
        <f t="shared" si="216"/>
        <v>-600</v>
      </c>
      <c r="K726" s="187">
        <f t="shared" si="217"/>
        <v>-5.4744525547445258E-3</v>
      </c>
    </row>
    <row r="727" spans="1:11">
      <c r="A727" s="82" t="s">
        <v>92</v>
      </c>
      <c r="B727" s="118">
        <v>80000</v>
      </c>
      <c r="C727" s="21"/>
      <c r="D727" s="108"/>
      <c r="E727" s="118">
        <v>6990</v>
      </c>
      <c r="F727" s="118">
        <f t="shared" si="224"/>
        <v>86990</v>
      </c>
      <c r="G727" s="118">
        <v>80000</v>
      </c>
      <c r="H727" s="118">
        <f t="shared" si="214"/>
        <v>0</v>
      </c>
      <c r="I727" s="159">
        <f t="shared" si="215"/>
        <v>0</v>
      </c>
      <c r="J727" s="118">
        <f t="shared" si="216"/>
        <v>-6990</v>
      </c>
      <c r="K727" s="159">
        <f t="shared" si="217"/>
        <v>-8.0354063685481092E-2</v>
      </c>
    </row>
    <row r="728" spans="1:11">
      <c r="A728" s="83" t="s">
        <v>84</v>
      </c>
      <c r="B728" s="112">
        <v>9000</v>
      </c>
      <c r="C728" s="21"/>
      <c r="D728" s="108"/>
      <c r="E728" s="108"/>
      <c r="F728" s="112">
        <f t="shared" si="224"/>
        <v>9000</v>
      </c>
      <c r="G728" s="112">
        <v>9000</v>
      </c>
      <c r="H728" s="112">
        <f t="shared" si="214"/>
        <v>0</v>
      </c>
      <c r="I728" s="186">
        <f t="shared" si="215"/>
        <v>0</v>
      </c>
      <c r="J728" s="112">
        <f t="shared" si="216"/>
        <v>0</v>
      </c>
      <c r="K728" s="186">
        <f t="shared" si="217"/>
        <v>0</v>
      </c>
    </row>
    <row r="729" spans="1:11">
      <c r="A729" s="82" t="s">
        <v>77</v>
      </c>
      <c r="B729" s="112"/>
      <c r="C729" s="21"/>
      <c r="D729" s="118">
        <v>17520</v>
      </c>
      <c r="E729" s="118">
        <v>-3910</v>
      </c>
      <c r="F729" s="112">
        <f t="shared" si="224"/>
        <v>13610</v>
      </c>
      <c r="G729" s="112">
        <v>20000</v>
      </c>
      <c r="H729" s="112">
        <f t="shared" si="214"/>
        <v>20000</v>
      </c>
      <c r="I729" s="186"/>
      <c r="J729" s="112">
        <f t="shared" si="216"/>
        <v>6390</v>
      </c>
      <c r="K729" s="186">
        <f t="shared" si="217"/>
        <v>0.4695077149155033</v>
      </c>
    </row>
    <row r="730" spans="1:11">
      <c r="A730" s="111"/>
      <c r="B730" s="108"/>
      <c r="C730" s="21"/>
      <c r="D730" s="108"/>
      <c r="E730" s="108"/>
      <c r="F730" s="108">
        <f t="shared" si="224"/>
        <v>0</v>
      </c>
      <c r="G730" s="108"/>
      <c r="H730" s="108">
        <f t="shared" si="214"/>
        <v>0</v>
      </c>
      <c r="I730" s="158"/>
      <c r="J730" s="108">
        <f t="shared" si="216"/>
        <v>0</v>
      </c>
      <c r="K730" s="158" t="str">
        <f t="shared" si="217"/>
        <v/>
      </c>
    </row>
    <row r="731" spans="1:11">
      <c r="A731" s="119" t="s">
        <v>788</v>
      </c>
      <c r="B731" s="120">
        <f>B732+B738+B740</f>
        <v>43780</v>
      </c>
      <c r="C731" s="21"/>
      <c r="D731" s="108">
        <f>D732+D740</f>
        <v>-100</v>
      </c>
      <c r="E731" s="108"/>
      <c r="F731" s="120">
        <f t="shared" si="224"/>
        <v>43680</v>
      </c>
      <c r="G731" s="120">
        <f>G732+G738+G740</f>
        <v>56930</v>
      </c>
      <c r="H731" s="120">
        <f t="shared" si="214"/>
        <v>13150</v>
      </c>
      <c r="I731" s="187">
        <f t="shared" si="215"/>
        <v>0.30036546368204659</v>
      </c>
      <c r="J731" s="120">
        <f t="shared" si="216"/>
        <v>13250</v>
      </c>
      <c r="K731" s="187">
        <f t="shared" si="217"/>
        <v>0.30334249084249082</v>
      </c>
    </row>
    <row r="732" spans="1:11">
      <c r="A732" s="111" t="s">
        <v>55</v>
      </c>
      <c r="B732" s="108">
        <f>SUM(B733:B737)</f>
        <v>34650</v>
      </c>
      <c r="C732" s="21"/>
      <c r="D732" s="108">
        <f>SUM(D734:D734)</f>
        <v>1100</v>
      </c>
      <c r="E732" s="108"/>
      <c r="F732" s="108">
        <f t="shared" si="224"/>
        <v>35750</v>
      </c>
      <c r="G732" s="108">
        <f t="shared" ref="G732" si="230">SUM(G733:G737)</f>
        <v>47450</v>
      </c>
      <c r="H732" s="108">
        <f t="shared" si="214"/>
        <v>12800</v>
      </c>
      <c r="I732" s="158">
        <f t="shared" si="215"/>
        <v>0.36940836940836941</v>
      </c>
      <c r="J732" s="108">
        <f t="shared" si="216"/>
        <v>11700</v>
      </c>
      <c r="K732" s="158">
        <f t="shared" si="217"/>
        <v>0.32727272727272727</v>
      </c>
    </row>
    <row r="733" spans="1:11">
      <c r="A733" s="83" t="s">
        <v>80</v>
      </c>
      <c r="B733" s="112">
        <v>20500</v>
      </c>
      <c r="C733" s="21"/>
      <c r="D733" s="108"/>
      <c r="E733" s="108"/>
      <c r="F733" s="112">
        <f t="shared" si="224"/>
        <v>20500</v>
      </c>
      <c r="G733" s="112">
        <v>27500</v>
      </c>
      <c r="H733" s="112">
        <f t="shared" si="214"/>
        <v>7000</v>
      </c>
      <c r="I733" s="186">
        <f t="shared" si="215"/>
        <v>0.34146341463414637</v>
      </c>
      <c r="J733" s="112">
        <f t="shared" si="216"/>
        <v>7000</v>
      </c>
      <c r="K733" s="186">
        <f t="shared" si="217"/>
        <v>0.34146341463414637</v>
      </c>
    </row>
    <row r="734" spans="1:11">
      <c r="A734" s="83" t="s">
        <v>77</v>
      </c>
      <c r="B734" s="112">
        <v>700</v>
      </c>
      <c r="C734" s="21"/>
      <c r="D734" s="118">
        <v>1100</v>
      </c>
      <c r="E734" s="118"/>
      <c r="F734" s="112">
        <f t="shared" si="224"/>
        <v>1800</v>
      </c>
      <c r="G734" s="112">
        <v>1000</v>
      </c>
      <c r="H734" s="112">
        <f t="shared" si="214"/>
        <v>300</v>
      </c>
      <c r="I734" s="186">
        <f t="shared" si="215"/>
        <v>0.42857142857142855</v>
      </c>
      <c r="J734" s="112">
        <f t="shared" si="216"/>
        <v>-800</v>
      </c>
      <c r="K734" s="186">
        <f t="shared" si="217"/>
        <v>-0.44444444444444442</v>
      </c>
    </row>
    <row r="735" spans="1:11">
      <c r="A735" s="83" t="s">
        <v>72</v>
      </c>
      <c r="B735" s="112">
        <v>3000</v>
      </c>
      <c r="C735" s="21"/>
      <c r="D735" s="118"/>
      <c r="E735" s="118"/>
      <c r="F735" s="112">
        <f t="shared" si="224"/>
        <v>3000</v>
      </c>
      <c r="G735" s="112">
        <v>3200</v>
      </c>
      <c r="H735" s="112">
        <f t="shared" si="214"/>
        <v>200</v>
      </c>
      <c r="I735" s="186">
        <f t="shared" si="215"/>
        <v>6.6666666666666666E-2</v>
      </c>
      <c r="J735" s="112">
        <f t="shared" si="216"/>
        <v>200</v>
      </c>
      <c r="K735" s="186">
        <f t="shared" si="217"/>
        <v>6.6666666666666666E-2</v>
      </c>
    </row>
    <row r="736" spans="1:11">
      <c r="A736" s="83" t="s">
        <v>82</v>
      </c>
      <c r="B736" s="112">
        <v>10000</v>
      </c>
      <c r="C736" s="21"/>
      <c r="D736" s="118"/>
      <c r="E736" s="118"/>
      <c r="F736" s="112">
        <f t="shared" si="224"/>
        <v>10000</v>
      </c>
      <c r="G736" s="112">
        <v>15300</v>
      </c>
      <c r="H736" s="112">
        <f t="shared" si="214"/>
        <v>5300</v>
      </c>
      <c r="I736" s="186">
        <f t="shared" si="215"/>
        <v>0.53</v>
      </c>
      <c r="J736" s="112">
        <f t="shared" si="216"/>
        <v>5300</v>
      </c>
      <c r="K736" s="186">
        <f t="shared" si="217"/>
        <v>0.53</v>
      </c>
    </row>
    <row r="737" spans="1:11">
      <c r="A737" s="83" t="s">
        <v>76</v>
      </c>
      <c r="B737" s="112">
        <v>450</v>
      </c>
      <c r="C737" s="21"/>
      <c r="D737" s="118"/>
      <c r="E737" s="118"/>
      <c r="F737" s="112">
        <f t="shared" si="224"/>
        <v>450</v>
      </c>
      <c r="G737" s="112">
        <v>450</v>
      </c>
      <c r="H737" s="112">
        <f t="shared" si="214"/>
        <v>0</v>
      </c>
      <c r="I737" s="186">
        <f t="shared" si="215"/>
        <v>0</v>
      </c>
      <c r="J737" s="112">
        <f t="shared" si="216"/>
        <v>0</v>
      </c>
      <c r="K737" s="186">
        <f t="shared" si="217"/>
        <v>0</v>
      </c>
    </row>
    <row r="738" spans="1:11">
      <c r="A738" s="111" t="s">
        <v>56</v>
      </c>
      <c r="B738" s="108">
        <f>SUM(B739:B739)</f>
        <v>250</v>
      </c>
      <c r="C738" s="21"/>
      <c r="D738" s="118"/>
      <c r="E738" s="118"/>
      <c r="F738" s="108">
        <f t="shared" si="224"/>
        <v>250</v>
      </c>
      <c r="G738" s="108">
        <f t="shared" ref="G738" si="231">SUM(G739:G739)</f>
        <v>300</v>
      </c>
      <c r="H738" s="108">
        <f t="shared" si="214"/>
        <v>50</v>
      </c>
      <c r="I738" s="158">
        <f t="shared" si="215"/>
        <v>0.2</v>
      </c>
      <c r="J738" s="108">
        <f t="shared" si="216"/>
        <v>50</v>
      </c>
      <c r="K738" s="158">
        <f t="shared" si="217"/>
        <v>0.2</v>
      </c>
    </row>
    <row r="739" spans="1:11">
      <c r="A739" s="83" t="s">
        <v>184</v>
      </c>
      <c r="B739" s="112">
        <v>250</v>
      </c>
      <c r="C739" s="21"/>
      <c r="D739" s="118"/>
      <c r="E739" s="118"/>
      <c r="F739" s="112">
        <f t="shared" si="224"/>
        <v>250</v>
      </c>
      <c r="G739" s="112">
        <v>300</v>
      </c>
      <c r="H739" s="112">
        <f t="shared" si="214"/>
        <v>50</v>
      </c>
      <c r="I739" s="186">
        <f t="shared" si="215"/>
        <v>0.2</v>
      </c>
      <c r="J739" s="112">
        <f t="shared" si="216"/>
        <v>50</v>
      </c>
      <c r="K739" s="186">
        <f t="shared" si="217"/>
        <v>0.2</v>
      </c>
    </row>
    <row r="740" spans="1:11">
      <c r="A740" s="111" t="s">
        <v>61</v>
      </c>
      <c r="B740" s="108">
        <f>SUM(B741:B744)</f>
        <v>8880</v>
      </c>
      <c r="C740" s="21"/>
      <c r="D740" s="108">
        <f>SUM(D741:D741)</f>
        <v>-1200</v>
      </c>
      <c r="E740" s="108"/>
      <c r="F740" s="108">
        <f t="shared" si="224"/>
        <v>7680</v>
      </c>
      <c r="G740" s="108">
        <f t="shared" ref="G740" si="232">SUM(G741:G744)</f>
        <v>9180</v>
      </c>
      <c r="H740" s="108">
        <f t="shared" si="214"/>
        <v>300</v>
      </c>
      <c r="I740" s="158">
        <f t="shared" si="215"/>
        <v>3.3783783783783786E-2</v>
      </c>
      <c r="J740" s="108">
        <f t="shared" si="216"/>
        <v>1500</v>
      </c>
      <c r="K740" s="158">
        <f t="shared" si="217"/>
        <v>0.1953125</v>
      </c>
    </row>
    <row r="741" spans="1:11">
      <c r="A741" s="82" t="s">
        <v>95</v>
      </c>
      <c r="B741" s="118">
        <v>2300</v>
      </c>
      <c r="C741" s="21"/>
      <c r="D741" s="118">
        <v>-1200</v>
      </c>
      <c r="E741" s="118"/>
      <c r="F741" s="118">
        <f t="shared" si="224"/>
        <v>1100</v>
      </c>
      <c r="G741" s="118">
        <v>1500</v>
      </c>
      <c r="H741" s="118">
        <f t="shared" si="214"/>
        <v>-800</v>
      </c>
      <c r="I741" s="159">
        <f t="shared" si="215"/>
        <v>-0.34782608695652173</v>
      </c>
      <c r="J741" s="118">
        <f t="shared" si="216"/>
        <v>400</v>
      </c>
      <c r="K741" s="159">
        <f t="shared" si="217"/>
        <v>0.36363636363636365</v>
      </c>
    </row>
    <row r="742" spans="1:11">
      <c r="A742" s="83" t="s">
        <v>75</v>
      </c>
      <c r="B742" s="112">
        <v>3300</v>
      </c>
      <c r="C742" s="21"/>
      <c r="D742" s="112"/>
      <c r="E742" s="112"/>
      <c r="F742" s="112">
        <f t="shared" si="224"/>
        <v>3300</v>
      </c>
      <c r="G742" s="112">
        <v>3900</v>
      </c>
      <c r="H742" s="112">
        <f t="shared" si="214"/>
        <v>600</v>
      </c>
      <c r="I742" s="186">
        <f t="shared" si="215"/>
        <v>0.18181818181818182</v>
      </c>
      <c r="J742" s="112">
        <f t="shared" si="216"/>
        <v>600</v>
      </c>
      <c r="K742" s="186">
        <f t="shared" si="217"/>
        <v>0.18181818181818182</v>
      </c>
    </row>
    <row r="743" spans="1:11">
      <c r="A743" s="83" t="s">
        <v>183</v>
      </c>
      <c r="B743" s="112">
        <v>2800</v>
      </c>
      <c r="C743" s="21"/>
      <c r="D743" s="112"/>
      <c r="E743" s="112"/>
      <c r="F743" s="112">
        <f t="shared" si="224"/>
        <v>2800</v>
      </c>
      <c r="G743" s="112">
        <v>3300</v>
      </c>
      <c r="H743" s="112">
        <f t="shared" si="214"/>
        <v>500</v>
      </c>
      <c r="I743" s="186">
        <f t="shared" si="215"/>
        <v>0.17857142857142858</v>
      </c>
      <c r="J743" s="112">
        <f t="shared" si="216"/>
        <v>500</v>
      </c>
      <c r="K743" s="186">
        <f t="shared" si="217"/>
        <v>0.17857142857142858</v>
      </c>
    </row>
    <row r="744" spans="1:11">
      <c r="A744" s="83" t="s">
        <v>97</v>
      </c>
      <c r="B744" s="112">
        <v>480</v>
      </c>
      <c r="C744" s="21"/>
      <c r="D744" s="112"/>
      <c r="E744" s="112"/>
      <c r="F744" s="112">
        <f t="shared" si="224"/>
        <v>480</v>
      </c>
      <c r="G744" s="112">
        <v>480</v>
      </c>
      <c r="H744" s="112">
        <f t="shared" si="214"/>
        <v>0</v>
      </c>
      <c r="I744" s="186">
        <f t="shared" si="215"/>
        <v>0</v>
      </c>
      <c r="J744" s="112">
        <f t="shared" si="216"/>
        <v>0</v>
      </c>
      <c r="K744" s="186">
        <f t="shared" si="217"/>
        <v>0</v>
      </c>
    </row>
    <row r="745" spans="1:11">
      <c r="A745" s="111"/>
      <c r="B745" s="108"/>
      <c r="C745" s="21"/>
      <c r="D745" s="108"/>
      <c r="E745" s="108"/>
      <c r="F745" s="108">
        <f t="shared" si="224"/>
        <v>0</v>
      </c>
      <c r="G745" s="254"/>
      <c r="H745" s="108">
        <f t="shared" si="214"/>
        <v>0</v>
      </c>
      <c r="I745" s="158"/>
      <c r="J745" s="108">
        <f t="shared" si="216"/>
        <v>0</v>
      </c>
      <c r="K745" s="158" t="str">
        <f t="shared" si="217"/>
        <v/>
      </c>
    </row>
    <row r="746" spans="1:11">
      <c r="A746" s="106" t="s">
        <v>789</v>
      </c>
      <c r="B746" s="107">
        <f>B748+B763+B768+B775+B783</f>
        <v>1524113</v>
      </c>
      <c r="C746" s="107">
        <f>C748+C763+C768+C775+C783</f>
        <v>0</v>
      </c>
      <c r="D746" s="107">
        <f>D768+D775</f>
        <v>152000</v>
      </c>
      <c r="E746" s="107">
        <f>E748+E763+E768+E775+E783</f>
        <v>70135</v>
      </c>
      <c r="F746" s="107">
        <f t="shared" si="224"/>
        <v>1746248</v>
      </c>
      <c r="G746" s="107">
        <f>G748+G763+G768+G775+G783</f>
        <v>1751125</v>
      </c>
      <c r="H746" s="107">
        <f t="shared" si="214"/>
        <v>227012</v>
      </c>
      <c r="I746" s="156">
        <f t="shared" si="215"/>
        <v>0.14894696128174223</v>
      </c>
      <c r="J746" s="107">
        <f t="shared" si="216"/>
        <v>4877</v>
      </c>
      <c r="K746" s="156">
        <f t="shared" si="217"/>
        <v>2.7928450025425941E-3</v>
      </c>
    </row>
    <row r="747" spans="1:11">
      <c r="A747" s="179"/>
      <c r="B747" s="180"/>
      <c r="C747" s="21"/>
      <c r="D747" s="181"/>
      <c r="E747" s="181"/>
      <c r="F747" s="180">
        <f t="shared" si="224"/>
        <v>0</v>
      </c>
      <c r="G747" s="254"/>
      <c r="H747" s="180">
        <f t="shared" si="214"/>
        <v>0</v>
      </c>
      <c r="I747" s="193"/>
      <c r="J747" s="180">
        <f t="shared" si="216"/>
        <v>0</v>
      </c>
      <c r="K747" s="193" t="str">
        <f t="shared" si="217"/>
        <v/>
      </c>
    </row>
    <row r="748" spans="1:11">
      <c r="A748" s="111" t="s">
        <v>790</v>
      </c>
      <c r="B748" s="108">
        <f>B749+B752+B755+B759</f>
        <v>1063720</v>
      </c>
      <c r="C748" s="21"/>
      <c r="D748" s="181"/>
      <c r="E748" s="81">
        <f>E749+E752+E755+E759</f>
        <v>63935</v>
      </c>
      <c r="F748" s="108">
        <f t="shared" si="224"/>
        <v>1127655</v>
      </c>
      <c r="G748" s="151">
        <f>SUM(G749+G752+G755+G759)</f>
        <v>1078520</v>
      </c>
      <c r="H748" s="108">
        <f t="shared" si="214"/>
        <v>14800</v>
      </c>
      <c r="I748" s="158">
        <f t="shared" si="215"/>
        <v>1.3913435866581432E-2</v>
      </c>
      <c r="J748" s="108">
        <f t="shared" si="216"/>
        <v>-49135</v>
      </c>
      <c r="K748" s="158">
        <f t="shared" si="217"/>
        <v>-4.357272392708763E-2</v>
      </c>
    </row>
    <row r="749" spans="1:11">
      <c r="A749" s="111" t="s">
        <v>59</v>
      </c>
      <c r="B749" s="108">
        <f>B750+B751</f>
        <v>138000</v>
      </c>
      <c r="C749" s="21"/>
      <c r="D749" s="181"/>
      <c r="E749" s="181"/>
      <c r="F749" s="108">
        <f t="shared" si="224"/>
        <v>138000</v>
      </c>
      <c r="G749" s="151">
        <f>SUM(G750+G751)</f>
        <v>138000</v>
      </c>
      <c r="H749" s="108">
        <f t="shared" si="214"/>
        <v>0</v>
      </c>
      <c r="I749" s="158">
        <f t="shared" si="215"/>
        <v>0</v>
      </c>
      <c r="J749" s="108">
        <f t="shared" si="216"/>
        <v>0</v>
      </c>
      <c r="K749" s="158">
        <f t="shared" si="217"/>
        <v>0</v>
      </c>
    </row>
    <row r="750" spans="1:11">
      <c r="A750" s="82" t="s">
        <v>86</v>
      </c>
      <c r="B750" s="118">
        <v>60000</v>
      </c>
      <c r="C750" s="21"/>
      <c r="D750" s="181"/>
      <c r="E750" s="181"/>
      <c r="F750" s="118">
        <f t="shared" si="224"/>
        <v>60000</v>
      </c>
      <c r="G750" s="118">
        <f>+F750</f>
        <v>60000</v>
      </c>
      <c r="H750" s="118">
        <f t="shared" si="214"/>
        <v>0</v>
      </c>
      <c r="I750" s="159">
        <f t="shared" si="215"/>
        <v>0</v>
      </c>
      <c r="J750" s="118">
        <f t="shared" si="216"/>
        <v>0</v>
      </c>
      <c r="K750" s="159">
        <f t="shared" si="217"/>
        <v>0</v>
      </c>
    </row>
    <row r="751" spans="1:11">
      <c r="A751" s="82" t="s">
        <v>70</v>
      </c>
      <c r="B751" s="118">
        <v>78000</v>
      </c>
      <c r="C751" s="21"/>
      <c r="D751" s="181"/>
      <c r="E751" s="181"/>
      <c r="F751" s="118">
        <f t="shared" si="224"/>
        <v>78000</v>
      </c>
      <c r="G751" s="118">
        <f>+F751</f>
        <v>78000</v>
      </c>
      <c r="H751" s="118">
        <f t="shared" si="214"/>
        <v>0</v>
      </c>
      <c r="I751" s="159">
        <f t="shared" si="215"/>
        <v>0</v>
      </c>
      <c r="J751" s="118">
        <f t="shared" si="216"/>
        <v>0</v>
      </c>
      <c r="K751" s="159">
        <f t="shared" si="217"/>
        <v>0</v>
      </c>
    </row>
    <row r="752" spans="1:11">
      <c r="A752" s="111" t="s">
        <v>51</v>
      </c>
      <c r="B752" s="108">
        <f>SUM(B753:B754)</f>
        <v>790540</v>
      </c>
      <c r="C752" s="21"/>
      <c r="D752" s="181"/>
      <c r="E752" s="181"/>
      <c r="F752" s="108">
        <f t="shared" si="224"/>
        <v>790540</v>
      </c>
      <c r="G752" s="151">
        <f>SUM(G753+G754)</f>
        <v>796360</v>
      </c>
      <c r="H752" s="108">
        <f t="shared" si="214"/>
        <v>5820</v>
      </c>
      <c r="I752" s="158">
        <f t="shared" si="215"/>
        <v>7.3620563159359428E-3</v>
      </c>
      <c r="J752" s="108">
        <f t="shared" si="216"/>
        <v>5820</v>
      </c>
      <c r="K752" s="158">
        <f t="shared" si="217"/>
        <v>7.3620563159359428E-3</v>
      </c>
    </row>
    <row r="753" spans="1:11">
      <c r="A753" s="82" t="s">
        <v>69</v>
      </c>
      <c r="B753" s="118">
        <v>538719</v>
      </c>
      <c r="C753" s="21"/>
      <c r="D753" s="181"/>
      <c r="E753" s="181"/>
      <c r="F753" s="118">
        <f t="shared" si="224"/>
        <v>538719</v>
      </c>
      <c r="G753" s="118">
        <v>544539</v>
      </c>
      <c r="H753" s="118">
        <f t="shared" si="214"/>
        <v>5820</v>
      </c>
      <c r="I753" s="159">
        <f t="shared" si="215"/>
        <v>1.080340585722798E-2</v>
      </c>
      <c r="J753" s="118">
        <f t="shared" si="216"/>
        <v>5820</v>
      </c>
      <c r="K753" s="159">
        <f t="shared" si="217"/>
        <v>1.080340585722798E-2</v>
      </c>
    </row>
    <row r="754" spans="1:11">
      <c r="A754" s="82" t="s">
        <v>70</v>
      </c>
      <c r="B754" s="118">
        <v>251821</v>
      </c>
      <c r="C754" s="21"/>
      <c r="D754" s="181"/>
      <c r="E754" s="181"/>
      <c r="F754" s="118">
        <f t="shared" si="224"/>
        <v>251821</v>
      </c>
      <c r="G754" s="118">
        <f>+F754</f>
        <v>251821</v>
      </c>
      <c r="H754" s="118">
        <f t="shared" si="214"/>
        <v>0</v>
      </c>
      <c r="I754" s="159">
        <f t="shared" si="215"/>
        <v>0</v>
      </c>
      <c r="J754" s="118">
        <f t="shared" si="216"/>
        <v>0</v>
      </c>
      <c r="K754" s="159">
        <f t="shared" si="217"/>
        <v>0</v>
      </c>
    </row>
    <row r="755" spans="1:11">
      <c r="A755" s="119" t="s">
        <v>58</v>
      </c>
      <c r="B755" s="120">
        <f>B756+B757+B758</f>
        <v>80780</v>
      </c>
      <c r="C755" s="21"/>
      <c r="D755" s="181"/>
      <c r="E755" s="81">
        <f>E756+E757+E758</f>
        <v>43685</v>
      </c>
      <c r="F755" s="120">
        <f t="shared" si="224"/>
        <v>124465</v>
      </c>
      <c r="G755" s="151">
        <f>SUM(G756+G757+G758)</f>
        <v>87060</v>
      </c>
      <c r="H755" s="120">
        <f t="shared" si="214"/>
        <v>6280</v>
      </c>
      <c r="I755" s="187">
        <f t="shared" si="215"/>
        <v>7.7742015350334245E-2</v>
      </c>
      <c r="J755" s="120">
        <f t="shared" si="216"/>
        <v>-37405</v>
      </c>
      <c r="K755" s="187">
        <f t="shared" si="217"/>
        <v>-0.30052625236010122</v>
      </c>
    </row>
    <row r="756" spans="1:11">
      <c r="A756" s="83" t="s">
        <v>94</v>
      </c>
      <c r="B756" s="112">
        <v>50540</v>
      </c>
      <c r="C756" s="21"/>
      <c r="D756" s="181"/>
      <c r="E756" s="611">
        <v>42220</v>
      </c>
      <c r="F756" s="112">
        <f t="shared" si="224"/>
        <v>92760</v>
      </c>
      <c r="G756" s="138">
        <v>56820</v>
      </c>
      <c r="H756" s="112">
        <f t="shared" si="214"/>
        <v>6280</v>
      </c>
      <c r="I756" s="186">
        <f t="shared" si="215"/>
        <v>0.12425801345468936</v>
      </c>
      <c r="J756" s="112">
        <f t="shared" si="216"/>
        <v>-35940</v>
      </c>
      <c r="K756" s="186">
        <f t="shared" si="217"/>
        <v>-0.38745148771021992</v>
      </c>
    </row>
    <row r="757" spans="1:11">
      <c r="A757" s="83" t="s">
        <v>83</v>
      </c>
      <c r="B757" s="112">
        <v>29840</v>
      </c>
      <c r="C757" s="21"/>
      <c r="D757" s="181"/>
      <c r="E757" s="611">
        <v>-1800</v>
      </c>
      <c r="F757" s="112">
        <f t="shared" si="224"/>
        <v>28040</v>
      </c>
      <c r="G757" s="152">
        <v>29840</v>
      </c>
      <c r="H757" s="112">
        <f t="shared" si="214"/>
        <v>0</v>
      </c>
      <c r="I757" s="186">
        <f t="shared" si="215"/>
        <v>0</v>
      </c>
      <c r="J757" s="112">
        <f t="shared" si="216"/>
        <v>1800</v>
      </c>
      <c r="K757" s="186">
        <f t="shared" si="217"/>
        <v>6.4194008559201141E-2</v>
      </c>
    </row>
    <row r="758" spans="1:11">
      <c r="A758" s="172" t="s">
        <v>93</v>
      </c>
      <c r="B758" s="112">
        <v>400</v>
      </c>
      <c r="C758" s="21"/>
      <c r="D758" s="181"/>
      <c r="E758" s="611">
        <v>3265</v>
      </c>
      <c r="F758" s="112">
        <f t="shared" si="224"/>
        <v>3665</v>
      </c>
      <c r="G758" s="293">
        <v>400</v>
      </c>
      <c r="H758" s="112">
        <f t="shared" si="214"/>
        <v>0</v>
      </c>
      <c r="I758" s="186">
        <f t="shared" si="215"/>
        <v>0</v>
      </c>
      <c r="J758" s="112">
        <f t="shared" si="216"/>
        <v>-3265</v>
      </c>
      <c r="K758" s="186">
        <f t="shared" si="217"/>
        <v>-0.89085948158253747</v>
      </c>
    </row>
    <row r="759" spans="1:11">
      <c r="A759" s="119" t="s">
        <v>52</v>
      </c>
      <c r="B759" s="120">
        <f>B760+B761</f>
        <v>54400</v>
      </c>
      <c r="C759" s="21"/>
      <c r="D759" s="181"/>
      <c r="E759" s="81">
        <f>E760</f>
        <v>20250</v>
      </c>
      <c r="F759" s="120">
        <f t="shared" si="224"/>
        <v>74650</v>
      </c>
      <c r="G759" s="151">
        <f>SUM(G760+G761)</f>
        <v>57100</v>
      </c>
      <c r="H759" s="120">
        <f t="shared" si="214"/>
        <v>2700</v>
      </c>
      <c r="I759" s="187">
        <f t="shared" si="215"/>
        <v>4.9632352941176468E-2</v>
      </c>
      <c r="J759" s="120">
        <f t="shared" si="216"/>
        <v>-17550</v>
      </c>
      <c r="K759" s="187">
        <f t="shared" si="217"/>
        <v>-0.23509711989283322</v>
      </c>
    </row>
    <row r="760" spans="1:11">
      <c r="A760" s="82" t="s">
        <v>92</v>
      </c>
      <c r="B760" s="118">
        <v>44400</v>
      </c>
      <c r="C760" s="21"/>
      <c r="D760" s="181"/>
      <c r="E760" s="611">
        <v>20250</v>
      </c>
      <c r="F760" s="118">
        <f t="shared" si="224"/>
        <v>64650</v>
      </c>
      <c r="G760" s="138">
        <v>46100</v>
      </c>
      <c r="H760" s="118">
        <f t="shared" si="214"/>
        <v>1700</v>
      </c>
      <c r="I760" s="159">
        <f t="shared" si="215"/>
        <v>3.8288288288288286E-2</v>
      </c>
      <c r="J760" s="118">
        <f t="shared" si="216"/>
        <v>-18550</v>
      </c>
      <c r="K760" s="159">
        <f t="shared" si="217"/>
        <v>-0.28692962103634956</v>
      </c>
    </row>
    <row r="761" spans="1:11">
      <c r="A761" s="83" t="s">
        <v>84</v>
      </c>
      <c r="B761" s="112">
        <v>10000</v>
      </c>
      <c r="C761" s="21"/>
      <c r="D761" s="181"/>
      <c r="E761" s="181"/>
      <c r="F761" s="112">
        <f t="shared" si="224"/>
        <v>10000</v>
      </c>
      <c r="G761" s="499">
        <v>11000</v>
      </c>
      <c r="H761" s="112">
        <f t="shared" si="214"/>
        <v>1000</v>
      </c>
      <c r="I761" s="186">
        <f t="shared" si="215"/>
        <v>0.1</v>
      </c>
      <c r="J761" s="112">
        <f t="shared" si="216"/>
        <v>1000</v>
      </c>
      <c r="K761" s="186">
        <f t="shared" si="217"/>
        <v>0.1</v>
      </c>
    </row>
    <row r="762" spans="1:11">
      <c r="A762" s="111"/>
      <c r="B762" s="108"/>
      <c r="C762" s="21"/>
      <c r="D762" s="181"/>
      <c r="E762" s="181"/>
      <c r="F762" s="108">
        <f t="shared" si="224"/>
        <v>0</v>
      </c>
      <c r="G762" s="254"/>
      <c r="H762" s="108">
        <f t="shared" si="214"/>
        <v>0</v>
      </c>
      <c r="I762" s="158"/>
      <c r="J762" s="108">
        <f t="shared" si="216"/>
        <v>0</v>
      </c>
      <c r="K762" s="158" t="str">
        <f t="shared" si="217"/>
        <v/>
      </c>
    </row>
    <row r="763" spans="1:11">
      <c r="A763" s="119" t="s">
        <v>791</v>
      </c>
      <c r="B763" s="120">
        <f>B764</f>
        <v>13000</v>
      </c>
      <c r="C763" s="21"/>
      <c r="D763" s="181"/>
      <c r="E763" s="81">
        <f>E764</f>
        <v>0</v>
      </c>
      <c r="F763" s="120">
        <f t="shared" si="224"/>
        <v>13000</v>
      </c>
      <c r="G763" s="500">
        <f>G764</f>
        <v>13000</v>
      </c>
      <c r="H763" s="120">
        <f t="shared" si="214"/>
        <v>0</v>
      </c>
      <c r="I763" s="187">
        <f t="shared" si="215"/>
        <v>0</v>
      </c>
      <c r="J763" s="120">
        <f t="shared" si="216"/>
        <v>0</v>
      </c>
      <c r="K763" s="187">
        <f t="shared" si="217"/>
        <v>0</v>
      </c>
    </row>
    <row r="764" spans="1:11">
      <c r="A764" s="111" t="s">
        <v>61</v>
      </c>
      <c r="B764" s="108">
        <f>B765+B766</f>
        <v>13000</v>
      </c>
      <c r="C764" s="21"/>
      <c r="D764" s="181"/>
      <c r="E764" s="81">
        <f>E765+E766</f>
        <v>0</v>
      </c>
      <c r="F764" s="108">
        <f t="shared" si="224"/>
        <v>13000</v>
      </c>
      <c r="G764" s="501">
        <f>SUM(G765+G766)</f>
        <v>13000</v>
      </c>
      <c r="H764" s="108">
        <f t="shared" si="214"/>
        <v>0</v>
      </c>
      <c r="I764" s="158">
        <f t="shared" si="215"/>
        <v>0</v>
      </c>
      <c r="J764" s="108">
        <f t="shared" si="216"/>
        <v>0</v>
      </c>
      <c r="K764" s="158">
        <f t="shared" si="217"/>
        <v>0</v>
      </c>
    </row>
    <row r="765" spans="1:11">
      <c r="A765" s="83" t="s">
        <v>75</v>
      </c>
      <c r="B765" s="112">
        <v>7000</v>
      </c>
      <c r="C765" s="21"/>
      <c r="D765" s="181"/>
      <c r="E765" s="611">
        <v>1500</v>
      </c>
      <c r="F765" s="112">
        <f t="shared" si="224"/>
        <v>8500</v>
      </c>
      <c r="G765" s="112">
        <v>7000</v>
      </c>
      <c r="H765" s="112">
        <f t="shared" si="214"/>
        <v>0</v>
      </c>
      <c r="I765" s="186">
        <f t="shared" si="215"/>
        <v>0</v>
      </c>
      <c r="J765" s="112">
        <f t="shared" si="216"/>
        <v>-1500</v>
      </c>
      <c r="K765" s="186">
        <f t="shared" si="217"/>
        <v>-0.17647058823529413</v>
      </c>
    </row>
    <row r="766" spans="1:11">
      <c r="A766" s="83" t="s">
        <v>97</v>
      </c>
      <c r="B766" s="112">
        <v>6000</v>
      </c>
      <c r="C766" s="21"/>
      <c r="D766" s="181"/>
      <c r="E766" s="611">
        <v>-1500</v>
      </c>
      <c r="F766" s="112">
        <f t="shared" si="224"/>
        <v>4500</v>
      </c>
      <c r="G766" s="112">
        <v>6000</v>
      </c>
      <c r="H766" s="112">
        <f t="shared" ref="H766:H813" si="233">G766-B766</f>
        <v>0</v>
      </c>
      <c r="I766" s="186">
        <f t="shared" ref="I766:I813" si="234">H766/B766</f>
        <v>0</v>
      </c>
      <c r="J766" s="112">
        <f t="shared" ref="J766:J813" si="235">G766-F766</f>
        <v>1500</v>
      </c>
      <c r="K766" s="186">
        <f t="shared" ref="K766:K813" si="236">IF(G766=0,"",J766/F766)</f>
        <v>0.33333333333333331</v>
      </c>
    </row>
    <row r="767" spans="1:11">
      <c r="A767" s="182"/>
      <c r="B767" s="181"/>
      <c r="C767" s="21"/>
      <c r="D767" s="181"/>
      <c r="E767" s="181"/>
      <c r="F767" s="181">
        <f t="shared" si="224"/>
        <v>0</v>
      </c>
      <c r="G767" s="254"/>
      <c r="H767" s="181">
        <f t="shared" si="233"/>
        <v>0</v>
      </c>
      <c r="I767" s="194"/>
      <c r="J767" s="181">
        <f t="shared" si="235"/>
        <v>0</v>
      </c>
      <c r="K767" s="194" t="str">
        <f t="shared" si="236"/>
        <v/>
      </c>
    </row>
    <row r="768" spans="1:11">
      <c r="A768" s="119" t="s">
        <v>792</v>
      </c>
      <c r="B768" s="120">
        <f>B769+B772</f>
        <v>15000</v>
      </c>
      <c r="C768" s="120">
        <f t="shared" ref="C768" si="237">C769+C772</f>
        <v>0</v>
      </c>
      <c r="D768" s="108">
        <f>D769</f>
        <v>2000</v>
      </c>
      <c r="E768" s="108">
        <f>E769+E772</f>
        <v>3500</v>
      </c>
      <c r="F768" s="120">
        <f t="shared" si="224"/>
        <v>20500</v>
      </c>
      <c r="G768" s="500">
        <f>SUM(G769+G772)</f>
        <v>19500</v>
      </c>
      <c r="H768" s="120">
        <f t="shared" si="233"/>
        <v>4500</v>
      </c>
      <c r="I768" s="187">
        <f t="shared" si="234"/>
        <v>0.3</v>
      </c>
      <c r="J768" s="120">
        <f t="shared" si="235"/>
        <v>-1000</v>
      </c>
      <c r="K768" s="187">
        <f t="shared" si="236"/>
        <v>-4.878048780487805E-2</v>
      </c>
    </row>
    <row r="769" spans="1:11">
      <c r="A769" s="122" t="s">
        <v>61</v>
      </c>
      <c r="B769" s="81">
        <f>B770+B771</f>
        <v>11500</v>
      </c>
      <c r="C769" s="21"/>
      <c r="D769" s="81">
        <f>D770</f>
        <v>2000</v>
      </c>
      <c r="E769" s="81"/>
      <c r="F769" s="81">
        <f t="shared" si="224"/>
        <v>13500</v>
      </c>
      <c r="G769" s="500">
        <f>SUM(G770+G771)</f>
        <v>13500</v>
      </c>
      <c r="H769" s="81">
        <f t="shared" si="233"/>
        <v>2000</v>
      </c>
      <c r="I769" s="92">
        <f t="shared" si="234"/>
        <v>0.17391304347826086</v>
      </c>
      <c r="J769" s="81">
        <f t="shared" si="235"/>
        <v>0</v>
      </c>
      <c r="K769" s="92">
        <f t="shared" si="236"/>
        <v>0</v>
      </c>
    </row>
    <row r="770" spans="1:11">
      <c r="A770" s="82" t="s">
        <v>95</v>
      </c>
      <c r="B770" s="118">
        <v>8000</v>
      </c>
      <c r="C770" s="21"/>
      <c r="D770" s="118">
        <v>2000</v>
      </c>
      <c r="E770" s="118"/>
      <c r="F770" s="118">
        <f t="shared" si="224"/>
        <v>10000</v>
      </c>
      <c r="G770" s="502">
        <v>10000</v>
      </c>
      <c r="H770" s="118">
        <f t="shared" si="233"/>
        <v>2000</v>
      </c>
      <c r="I770" s="159">
        <f t="shared" si="234"/>
        <v>0.25</v>
      </c>
      <c r="J770" s="118">
        <f t="shared" si="235"/>
        <v>0</v>
      </c>
      <c r="K770" s="159">
        <f t="shared" si="236"/>
        <v>0</v>
      </c>
    </row>
    <row r="771" spans="1:11">
      <c r="A771" s="82" t="s">
        <v>180</v>
      </c>
      <c r="B771" s="118">
        <v>3500</v>
      </c>
      <c r="C771" s="21"/>
      <c r="D771" s="118"/>
      <c r="E771" s="118"/>
      <c r="F771" s="118">
        <f t="shared" si="224"/>
        <v>3500</v>
      </c>
      <c r="G771" s="502">
        <v>3500</v>
      </c>
      <c r="H771" s="118">
        <f t="shared" si="233"/>
        <v>0</v>
      </c>
      <c r="I771" s="159">
        <f t="shared" si="234"/>
        <v>0</v>
      </c>
      <c r="J771" s="118">
        <f t="shared" si="235"/>
        <v>0</v>
      </c>
      <c r="K771" s="159">
        <f t="shared" si="236"/>
        <v>0</v>
      </c>
    </row>
    <row r="772" spans="1:11">
      <c r="A772" s="111" t="s">
        <v>51</v>
      </c>
      <c r="B772" s="108">
        <f>SUM(B773:B773)</f>
        <v>3500</v>
      </c>
      <c r="C772" s="21"/>
      <c r="D772" s="118"/>
      <c r="E772" s="560">
        <f>E773</f>
        <v>3500</v>
      </c>
      <c r="F772" s="108">
        <f t="shared" si="224"/>
        <v>7000</v>
      </c>
      <c r="G772" s="500">
        <f>G773</f>
        <v>6000</v>
      </c>
      <c r="H772" s="108">
        <f t="shared" si="233"/>
        <v>2500</v>
      </c>
      <c r="I772" s="158">
        <f t="shared" si="234"/>
        <v>0.7142857142857143</v>
      </c>
      <c r="J772" s="108">
        <f t="shared" si="235"/>
        <v>-1000</v>
      </c>
      <c r="K772" s="158">
        <f t="shared" si="236"/>
        <v>-0.14285714285714285</v>
      </c>
    </row>
    <row r="773" spans="1:11">
      <c r="A773" s="82" t="s">
        <v>70</v>
      </c>
      <c r="B773" s="118">
        <v>3500</v>
      </c>
      <c r="C773" s="21"/>
      <c r="D773" s="118"/>
      <c r="E773" s="118">
        <v>3500</v>
      </c>
      <c r="F773" s="118">
        <f t="shared" si="224"/>
        <v>7000</v>
      </c>
      <c r="G773" s="503">
        <v>6000</v>
      </c>
      <c r="H773" s="118">
        <f t="shared" si="233"/>
        <v>2500</v>
      </c>
      <c r="I773" s="159">
        <f t="shared" si="234"/>
        <v>0.7142857142857143</v>
      </c>
      <c r="J773" s="118">
        <f t="shared" si="235"/>
        <v>-1000</v>
      </c>
      <c r="K773" s="159">
        <f t="shared" si="236"/>
        <v>-0.14285714285714285</v>
      </c>
    </row>
    <row r="774" spans="1:11">
      <c r="A774" s="83"/>
      <c r="B774" s="112"/>
      <c r="C774" s="21"/>
      <c r="D774" s="118"/>
      <c r="E774" s="118"/>
      <c r="F774" s="112">
        <f t="shared" si="224"/>
        <v>0</v>
      </c>
      <c r="G774" s="254"/>
      <c r="H774" s="112">
        <f t="shared" si="233"/>
        <v>0</v>
      </c>
      <c r="I774" s="186"/>
      <c r="J774" s="112">
        <f t="shared" si="235"/>
        <v>0</v>
      </c>
      <c r="K774" s="186" t="str">
        <f t="shared" si="236"/>
        <v/>
      </c>
    </row>
    <row r="775" spans="1:11">
      <c r="A775" s="111" t="s">
        <v>793</v>
      </c>
      <c r="B775" s="108">
        <f>B779+B776</f>
        <v>424073</v>
      </c>
      <c r="C775" s="21"/>
      <c r="D775" s="108">
        <f>D776</f>
        <v>150000</v>
      </c>
      <c r="E775" s="108"/>
      <c r="F775" s="108">
        <f t="shared" ref="F775:F813" si="238">SUM(B775:E775)</f>
        <v>574073</v>
      </c>
      <c r="G775" s="493">
        <f>G779+G776</f>
        <v>629521</v>
      </c>
      <c r="H775" s="108">
        <f t="shared" si="233"/>
        <v>205448</v>
      </c>
      <c r="I775" s="158">
        <f t="shared" si="234"/>
        <v>0.48446375977720818</v>
      </c>
      <c r="J775" s="108">
        <f t="shared" si="235"/>
        <v>55448</v>
      </c>
      <c r="K775" s="158">
        <f t="shared" si="236"/>
        <v>9.6587019420875039E-2</v>
      </c>
    </row>
    <row r="776" spans="1:11">
      <c r="A776" s="111" t="s">
        <v>51</v>
      </c>
      <c r="B776" s="108">
        <f>B777+B778</f>
        <v>366260</v>
      </c>
      <c r="C776" s="21"/>
      <c r="D776" s="108">
        <f>D778</f>
        <v>150000</v>
      </c>
      <c r="E776" s="108"/>
      <c r="F776" s="108">
        <f t="shared" si="238"/>
        <v>516260</v>
      </c>
      <c r="G776" s="504">
        <f>SUM(G777+G778)</f>
        <v>525621</v>
      </c>
      <c r="H776" s="108">
        <f t="shared" si="233"/>
        <v>159361</v>
      </c>
      <c r="I776" s="158">
        <f t="shared" si="234"/>
        <v>0.43510347840332003</v>
      </c>
      <c r="J776" s="108">
        <f t="shared" si="235"/>
        <v>9361</v>
      </c>
      <c r="K776" s="158">
        <f t="shared" si="236"/>
        <v>1.8132336419633518E-2</v>
      </c>
    </row>
    <row r="777" spans="1:11">
      <c r="A777" s="82" t="s">
        <v>182</v>
      </c>
      <c r="B777" s="118">
        <v>293475</v>
      </c>
      <c r="C777" s="21"/>
      <c r="D777" s="108"/>
      <c r="E777" s="108"/>
      <c r="F777" s="118">
        <f t="shared" si="238"/>
        <v>293475</v>
      </c>
      <c r="G777" s="503">
        <v>296836</v>
      </c>
      <c r="H777" s="118">
        <f t="shared" si="233"/>
        <v>3361</v>
      </c>
      <c r="I777" s="159">
        <f t="shared" si="234"/>
        <v>1.1452423545446802E-2</v>
      </c>
      <c r="J777" s="118">
        <f t="shared" si="235"/>
        <v>3361</v>
      </c>
      <c r="K777" s="159">
        <f t="shared" si="236"/>
        <v>1.1452423545446802E-2</v>
      </c>
    </row>
    <row r="778" spans="1:11">
      <c r="A778" s="82" t="s">
        <v>70</v>
      </c>
      <c r="B778" s="118">
        <v>72785</v>
      </c>
      <c r="C778" s="21"/>
      <c r="D778" s="118">
        <v>150000</v>
      </c>
      <c r="E778" s="118"/>
      <c r="F778" s="118">
        <f t="shared" si="238"/>
        <v>222785</v>
      </c>
      <c r="G778" s="503">
        <v>228785</v>
      </c>
      <c r="H778" s="118">
        <f t="shared" si="233"/>
        <v>156000</v>
      </c>
      <c r="I778" s="159">
        <f t="shared" si="234"/>
        <v>2.1432987566119395</v>
      </c>
      <c r="J778" s="118">
        <f t="shared" si="235"/>
        <v>6000</v>
      </c>
      <c r="K778" s="159">
        <f t="shared" si="236"/>
        <v>2.6931795228583612E-2</v>
      </c>
    </row>
    <row r="779" spans="1:11">
      <c r="A779" s="111" t="s">
        <v>55</v>
      </c>
      <c r="B779" s="108">
        <f>B780+B781</f>
        <v>57813</v>
      </c>
      <c r="C779" s="21"/>
      <c r="D779" s="108"/>
      <c r="E779" s="108"/>
      <c r="F779" s="108">
        <f t="shared" si="238"/>
        <v>57813</v>
      </c>
      <c r="G779" s="501">
        <f>SUM(G780+G781)</f>
        <v>103900</v>
      </c>
      <c r="H779" s="108">
        <f t="shared" si="233"/>
        <v>46087</v>
      </c>
      <c r="I779" s="158">
        <f t="shared" si="234"/>
        <v>0.7971736460657638</v>
      </c>
      <c r="J779" s="108">
        <f t="shared" si="235"/>
        <v>46087</v>
      </c>
      <c r="K779" s="158">
        <f t="shared" si="236"/>
        <v>0.7971736460657638</v>
      </c>
    </row>
    <row r="780" spans="1:11">
      <c r="A780" s="83" t="s">
        <v>180</v>
      </c>
      <c r="B780" s="112">
        <v>2000</v>
      </c>
      <c r="C780" s="21"/>
      <c r="D780" s="112"/>
      <c r="E780" s="112"/>
      <c r="F780" s="112">
        <f t="shared" si="238"/>
        <v>2000</v>
      </c>
      <c r="G780" s="503">
        <v>28100</v>
      </c>
      <c r="H780" s="112">
        <f t="shared" si="233"/>
        <v>26100</v>
      </c>
      <c r="I780" s="186">
        <f t="shared" si="234"/>
        <v>13.05</v>
      </c>
      <c r="J780" s="112">
        <f t="shared" si="235"/>
        <v>26100</v>
      </c>
      <c r="K780" s="186">
        <f t="shared" si="236"/>
        <v>13.05</v>
      </c>
    </row>
    <row r="781" spans="1:11">
      <c r="A781" s="83" t="s">
        <v>82</v>
      </c>
      <c r="B781" s="112">
        <v>55813</v>
      </c>
      <c r="C781" s="21"/>
      <c r="D781" s="112"/>
      <c r="E781" s="112"/>
      <c r="F781" s="112">
        <f t="shared" si="238"/>
        <v>55813</v>
      </c>
      <c r="G781" s="503">
        <v>75800</v>
      </c>
      <c r="H781" s="112">
        <f t="shared" si="233"/>
        <v>19987</v>
      </c>
      <c r="I781" s="186">
        <f t="shared" si="234"/>
        <v>0.35810653431996131</v>
      </c>
      <c r="J781" s="112">
        <f t="shared" si="235"/>
        <v>19987</v>
      </c>
      <c r="K781" s="186">
        <f t="shared" si="236"/>
        <v>0.35810653431996131</v>
      </c>
    </row>
    <row r="782" spans="1:11">
      <c r="A782" s="83"/>
      <c r="B782" s="112"/>
      <c r="C782" s="21"/>
      <c r="D782" s="112"/>
      <c r="E782" s="112"/>
      <c r="F782" s="112">
        <f t="shared" si="238"/>
        <v>0</v>
      </c>
      <c r="G782" s="254"/>
      <c r="H782" s="112">
        <f t="shared" si="233"/>
        <v>0</v>
      </c>
      <c r="I782" s="186"/>
      <c r="J782" s="112">
        <f t="shared" si="235"/>
        <v>0</v>
      </c>
      <c r="K782" s="186" t="str">
        <f t="shared" si="236"/>
        <v/>
      </c>
    </row>
    <row r="783" spans="1:11">
      <c r="A783" s="111" t="s">
        <v>794</v>
      </c>
      <c r="B783" s="108">
        <f>B784+B787</f>
        <v>8320</v>
      </c>
      <c r="C783" s="21"/>
      <c r="D783" s="108"/>
      <c r="E783" s="108">
        <f>E784+E787</f>
        <v>2700</v>
      </c>
      <c r="F783" s="108">
        <f t="shared" si="238"/>
        <v>11020</v>
      </c>
      <c r="G783" s="501">
        <f>SUM(G784+G787)</f>
        <v>10584</v>
      </c>
      <c r="H783" s="108">
        <f t="shared" si="233"/>
        <v>2264</v>
      </c>
      <c r="I783" s="158">
        <f t="shared" si="234"/>
        <v>0.27211538461538459</v>
      </c>
      <c r="J783" s="108">
        <f t="shared" si="235"/>
        <v>-436</v>
      </c>
      <c r="K783" s="158">
        <f t="shared" si="236"/>
        <v>-3.9564428312159707E-2</v>
      </c>
    </row>
    <row r="784" spans="1:11">
      <c r="A784" s="111" t="s">
        <v>56</v>
      </c>
      <c r="B784" s="108">
        <f>B785+B786</f>
        <v>7000</v>
      </c>
      <c r="C784" s="21"/>
      <c r="D784" s="108"/>
      <c r="E784" s="108">
        <f>E785+E786</f>
        <v>2700</v>
      </c>
      <c r="F784" s="108">
        <f t="shared" si="238"/>
        <v>9700</v>
      </c>
      <c r="G784" s="501">
        <f>G786+G785</f>
        <v>9000</v>
      </c>
      <c r="H784" s="108">
        <f t="shared" si="233"/>
        <v>2000</v>
      </c>
      <c r="I784" s="158">
        <f t="shared" si="234"/>
        <v>0.2857142857142857</v>
      </c>
      <c r="J784" s="108">
        <f t="shared" si="235"/>
        <v>-700</v>
      </c>
      <c r="K784" s="158">
        <f t="shared" si="236"/>
        <v>-7.2164948453608241E-2</v>
      </c>
    </row>
    <row r="785" spans="1:12">
      <c r="A785" s="82" t="s">
        <v>208</v>
      </c>
      <c r="B785" s="118">
        <v>5000</v>
      </c>
      <c r="C785" s="21"/>
      <c r="D785" s="118"/>
      <c r="E785" s="118">
        <v>1500</v>
      </c>
      <c r="F785" s="118">
        <f t="shared" si="238"/>
        <v>6500</v>
      </c>
      <c r="G785" s="503">
        <v>6000</v>
      </c>
      <c r="H785" s="118">
        <f t="shared" si="233"/>
        <v>1000</v>
      </c>
      <c r="I785" s="159">
        <f t="shared" si="234"/>
        <v>0.2</v>
      </c>
      <c r="J785" s="118">
        <f t="shared" si="235"/>
        <v>-500</v>
      </c>
      <c r="K785" s="159">
        <f t="shared" si="236"/>
        <v>-7.6923076923076927E-2</v>
      </c>
    </row>
    <row r="786" spans="1:12">
      <c r="A786" s="83" t="s">
        <v>79</v>
      </c>
      <c r="B786" s="112">
        <v>2000</v>
      </c>
      <c r="C786" s="21"/>
      <c r="D786" s="112"/>
      <c r="E786" s="112">
        <v>1200</v>
      </c>
      <c r="F786" s="112">
        <f t="shared" si="238"/>
        <v>3200</v>
      </c>
      <c r="G786" s="503">
        <v>3000</v>
      </c>
      <c r="H786" s="112">
        <f t="shared" si="233"/>
        <v>1000</v>
      </c>
      <c r="I786" s="186">
        <f t="shared" si="234"/>
        <v>0.5</v>
      </c>
      <c r="J786" s="112">
        <f t="shared" si="235"/>
        <v>-200</v>
      </c>
      <c r="K786" s="186">
        <f t="shared" si="236"/>
        <v>-6.25E-2</v>
      </c>
    </row>
    <row r="787" spans="1:12">
      <c r="A787" s="111" t="s">
        <v>51</v>
      </c>
      <c r="B787" s="108">
        <f>B788</f>
        <v>1320</v>
      </c>
      <c r="C787" s="21"/>
      <c r="D787" s="108"/>
      <c r="E787" s="108"/>
      <c r="F787" s="108">
        <f t="shared" si="238"/>
        <v>1320</v>
      </c>
      <c r="G787" s="501">
        <f>G788</f>
        <v>1584</v>
      </c>
      <c r="H787" s="108">
        <f t="shared" si="233"/>
        <v>264</v>
      </c>
      <c r="I787" s="158">
        <f t="shared" si="234"/>
        <v>0.2</v>
      </c>
      <c r="J787" s="108">
        <f t="shared" si="235"/>
        <v>264</v>
      </c>
      <c r="K787" s="158">
        <f t="shared" si="236"/>
        <v>0.2</v>
      </c>
    </row>
    <row r="788" spans="1:12">
      <c r="A788" s="82" t="s">
        <v>69</v>
      </c>
      <c r="B788" s="118">
        <v>1320</v>
      </c>
      <c r="C788" s="21"/>
      <c r="D788" s="118"/>
      <c r="E788" s="118"/>
      <c r="F788" s="118">
        <f t="shared" si="238"/>
        <v>1320</v>
      </c>
      <c r="G788" s="503">
        <v>1584</v>
      </c>
      <c r="H788" s="118">
        <f t="shared" si="233"/>
        <v>264</v>
      </c>
      <c r="I788" s="159">
        <f t="shared" si="234"/>
        <v>0.2</v>
      </c>
      <c r="J788" s="118">
        <f t="shared" si="235"/>
        <v>264</v>
      </c>
      <c r="K788" s="159">
        <f t="shared" si="236"/>
        <v>0.2</v>
      </c>
    </row>
    <row r="789" spans="1:12">
      <c r="A789" s="82"/>
      <c r="B789" s="118"/>
      <c r="C789" s="21"/>
      <c r="D789" s="118"/>
      <c r="E789" s="118"/>
      <c r="F789" s="118">
        <f t="shared" si="238"/>
        <v>0</v>
      </c>
      <c r="G789" s="254"/>
      <c r="H789" s="118">
        <f t="shared" si="233"/>
        <v>0</v>
      </c>
      <c r="I789" s="159"/>
      <c r="J789" s="118">
        <f t="shared" si="235"/>
        <v>0</v>
      </c>
      <c r="K789" s="159" t="str">
        <f t="shared" si="236"/>
        <v/>
      </c>
    </row>
    <row r="790" spans="1:12">
      <c r="A790" s="106" t="s">
        <v>10</v>
      </c>
      <c r="B790" s="107">
        <f>B6+B13+B23+B50+B55+B127+B277+B379+B391+B399+B448+B461+B491+B534+B560+B621+B664+B716+B746+B454</f>
        <v>89458539</v>
      </c>
      <c r="C790" s="107">
        <f>C6+C13+C23+C50+C55+C127+C277+C379+C391+C399+C448+C461+C491+C534+C560+C621+C664+C716+C746+C454</f>
        <v>0</v>
      </c>
      <c r="D790" s="107">
        <f>D6+D13+D23+D50+D55+D127+D277+D379+D391+D399+D448+D461+D491+D534+D560+D621+D664+D716+D746+D454</f>
        <v>4842245</v>
      </c>
      <c r="E790" s="107">
        <f>E6+E13+E23+E50+E55+E127+E277+E379+E391+E399+E448+E461+E491+E534+E560+E621+E664+E716+E746+E454</f>
        <v>4962164</v>
      </c>
      <c r="F790" s="107">
        <f t="shared" si="238"/>
        <v>99262948</v>
      </c>
      <c r="G790" s="107">
        <f>G6+G13+G23+G50+G55+G127+G277+G379+G391+G399+G448+G461+G491+G534+G560+G621+G664+G716+G746+G454</f>
        <v>96159536</v>
      </c>
      <c r="H790" s="107">
        <f t="shared" si="233"/>
        <v>6700997</v>
      </c>
      <c r="I790" s="156">
        <f t="shared" si="234"/>
        <v>7.4906175250637613E-2</v>
      </c>
      <c r="J790" s="107">
        <f t="shared" si="235"/>
        <v>-3103412</v>
      </c>
      <c r="K790" s="156">
        <f t="shared" si="236"/>
        <v>-3.1264556035551151E-2</v>
      </c>
    </row>
    <row r="791" spans="1:12">
      <c r="A791" s="183"/>
      <c r="B791" s="184"/>
      <c r="C791" s="184"/>
      <c r="D791" s="184"/>
      <c r="E791" s="21"/>
      <c r="F791" s="184">
        <f t="shared" si="238"/>
        <v>0</v>
      </c>
      <c r="G791" s="21"/>
      <c r="H791" s="184">
        <f t="shared" si="233"/>
        <v>0</v>
      </c>
      <c r="I791" s="92"/>
      <c r="J791" s="184">
        <f t="shared" si="235"/>
        <v>0</v>
      </c>
      <c r="K791" s="92" t="str">
        <f t="shared" si="236"/>
        <v/>
      </c>
    </row>
    <row r="792" spans="1:12">
      <c r="A792" s="183"/>
      <c r="B792" s="185"/>
      <c r="C792" s="185"/>
      <c r="D792" s="185"/>
      <c r="E792" s="21"/>
      <c r="F792" s="184">
        <f t="shared" si="238"/>
        <v>0</v>
      </c>
      <c r="G792" s="21"/>
      <c r="H792" s="185">
        <f t="shared" si="233"/>
        <v>0</v>
      </c>
      <c r="I792" s="195"/>
      <c r="J792" s="185">
        <f t="shared" si="235"/>
        <v>0</v>
      </c>
      <c r="K792" s="195" t="str">
        <f t="shared" si="236"/>
        <v/>
      </c>
    </row>
    <row r="793" spans="1:12">
      <c r="A793" s="147" t="s">
        <v>752</v>
      </c>
      <c r="B793" s="151">
        <f>B6</f>
        <v>28450</v>
      </c>
      <c r="C793" s="151">
        <f>C6</f>
        <v>0</v>
      </c>
      <c r="D793" s="151">
        <f>D6</f>
        <v>-23680</v>
      </c>
      <c r="E793" s="151">
        <f>E6</f>
        <v>0</v>
      </c>
      <c r="F793" s="151">
        <f t="shared" si="238"/>
        <v>4770</v>
      </c>
      <c r="G793" s="151">
        <f>G6</f>
        <v>700</v>
      </c>
      <c r="H793" s="151">
        <f t="shared" si="233"/>
        <v>-27750</v>
      </c>
      <c r="I793" s="92">
        <f t="shared" si="234"/>
        <v>-0.97539543057996481</v>
      </c>
      <c r="J793" s="151">
        <f t="shared" si="235"/>
        <v>-4070</v>
      </c>
      <c r="K793" s="92">
        <f t="shared" si="236"/>
        <v>-0.85324947589098532</v>
      </c>
      <c r="L793" s="538"/>
    </row>
    <row r="794" spans="1:12">
      <c r="A794" s="147" t="s">
        <v>99</v>
      </c>
      <c r="B794" s="151">
        <f>B13</f>
        <v>75000</v>
      </c>
      <c r="C794" s="151">
        <f>C13</f>
        <v>0</v>
      </c>
      <c r="D794" s="151">
        <f>D13</f>
        <v>6500</v>
      </c>
      <c r="E794" s="151">
        <f>E13</f>
        <v>0</v>
      </c>
      <c r="F794" s="151">
        <f t="shared" si="238"/>
        <v>81500</v>
      </c>
      <c r="G794" s="151">
        <f>G13</f>
        <v>68000</v>
      </c>
      <c r="H794" s="151">
        <f t="shared" si="233"/>
        <v>-7000</v>
      </c>
      <c r="I794" s="92">
        <f t="shared" si="234"/>
        <v>-9.3333333333333338E-2</v>
      </c>
      <c r="J794" s="151">
        <f t="shared" si="235"/>
        <v>-13500</v>
      </c>
      <c r="K794" s="92">
        <f t="shared" si="236"/>
        <v>-0.16564417177914109</v>
      </c>
      <c r="L794" s="538"/>
    </row>
    <row r="795" spans="1:12">
      <c r="A795" s="10" t="s">
        <v>609</v>
      </c>
      <c r="B795" s="151">
        <f>B23</f>
        <v>5888879</v>
      </c>
      <c r="C795" s="151">
        <f>C23</f>
        <v>0</v>
      </c>
      <c r="D795" s="151">
        <f>D23</f>
        <v>37000</v>
      </c>
      <c r="E795" s="151">
        <f>E23</f>
        <v>416508</v>
      </c>
      <c r="F795" s="151">
        <f t="shared" si="238"/>
        <v>6342387</v>
      </c>
      <c r="G795" s="151">
        <f>G23</f>
        <v>4852601</v>
      </c>
      <c r="H795" s="151">
        <f t="shared" si="233"/>
        <v>-1036278</v>
      </c>
      <c r="I795" s="92">
        <f t="shared" si="234"/>
        <v>-0.17597203134926018</v>
      </c>
      <c r="J795" s="151">
        <f t="shared" si="235"/>
        <v>-1489786</v>
      </c>
      <c r="K795" s="92">
        <f t="shared" si="236"/>
        <v>-0.23489358186436746</v>
      </c>
      <c r="L795" s="538"/>
    </row>
    <row r="796" spans="1:12">
      <c r="A796" s="147" t="s">
        <v>100</v>
      </c>
      <c r="B796" s="151">
        <f>B50</f>
        <v>265541</v>
      </c>
      <c r="C796" s="151">
        <f>C50</f>
        <v>0</v>
      </c>
      <c r="D796" s="151">
        <f>D50</f>
        <v>0</v>
      </c>
      <c r="E796" s="151">
        <f>E50</f>
        <v>-30000</v>
      </c>
      <c r="F796" s="151">
        <f t="shared" si="238"/>
        <v>235541</v>
      </c>
      <c r="G796" s="151">
        <f>G50</f>
        <v>265541</v>
      </c>
      <c r="H796" s="151">
        <f t="shared" si="233"/>
        <v>0</v>
      </c>
      <c r="I796" s="92">
        <f t="shared" si="234"/>
        <v>0</v>
      </c>
      <c r="J796" s="151">
        <f t="shared" si="235"/>
        <v>30000</v>
      </c>
      <c r="K796" s="92">
        <f t="shared" si="236"/>
        <v>0.12736636084588246</v>
      </c>
      <c r="L796" s="538"/>
    </row>
    <row r="797" spans="1:12">
      <c r="A797" s="147" t="s">
        <v>48</v>
      </c>
      <c r="B797" s="151">
        <f>B55</f>
        <v>28946290</v>
      </c>
      <c r="C797" s="151">
        <f>C55</f>
        <v>0</v>
      </c>
      <c r="D797" s="151">
        <f>D55</f>
        <v>333010</v>
      </c>
      <c r="E797" s="151">
        <f>E55</f>
        <v>461220</v>
      </c>
      <c r="F797" s="151">
        <f t="shared" si="238"/>
        <v>29740520</v>
      </c>
      <c r="G797" s="151">
        <f>G55</f>
        <v>30294810</v>
      </c>
      <c r="H797" s="151">
        <f t="shared" si="233"/>
        <v>1348520</v>
      </c>
      <c r="I797" s="92">
        <f t="shared" si="234"/>
        <v>4.6586971940100093E-2</v>
      </c>
      <c r="J797" s="151">
        <f t="shared" si="235"/>
        <v>554290</v>
      </c>
      <c r="K797" s="92">
        <f t="shared" si="236"/>
        <v>1.8637535591173253E-2</v>
      </c>
      <c r="L797" s="538"/>
    </row>
    <row r="798" spans="1:12">
      <c r="A798" s="147" t="s">
        <v>601</v>
      </c>
      <c r="B798" s="151">
        <f>B127</f>
        <v>9431620</v>
      </c>
      <c r="C798" s="151">
        <f>C127</f>
        <v>0</v>
      </c>
      <c r="D798" s="151">
        <f>D127</f>
        <v>103880</v>
      </c>
      <c r="E798" s="151">
        <f>E127</f>
        <v>-252150</v>
      </c>
      <c r="F798" s="151">
        <f t="shared" si="238"/>
        <v>9283350</v>
      </c>
      <c r="G798" s="151">
        <f>G127</f>
        <v>9865285</v>
      </c>
      <c r="H798" s="151">
        <f t="shared" si="233"/>
        <v>433665</v>
      </c>
      <c r="I798" s="92">
        <f t="shared" si="234"/>
        <v>4.5979905891034629E-2</v>
      </c>
      <c r="J798" s="151">
        <f t="shared" si="235"/>
        <v>581935</v>
      </c>
      <c r="K798" s="92">
        <f t="shared" si="236"/>
        <v>6.2685883867353923E-2</v>
      </c>
      <c r="L798" s="538"/>
    </row>
    <row r="799" spans="1:12">
      <c r="A799" s="147" t="s">
        <v>107</v>
      </c>
      <c r="B799" s="151">
        <f>B277</f>
        <v>23221948</v>
      </c>
      <c r="C799" s="151">
        <f>C277</f>
        <v>0</v>
      </c>
      <c r="D799" s="151">
        <f>D277</f>
        <v>3362330</v>
      </c>
      <c r="E799" s="151">
        <f>E277</f>
        <v>2995120</v>
      </c>
      <c r="F799" s="151">
        <f t="shared" si="238"/>
        <v>29579398</v>
      </c>
      <c r="G799" s="151">
        <f>G277</f>
        <v>25248628</v>
      </c>
      <c r="H799" s="151">
        <f t="shared" si="233"/>
        <v>2026680</v>
      </c>
      <c r="I799" s="92">
        <f t="shared" si="234"/>
        <v>8.7274332024169551E-2</v>
      </c>
      <c r="J799" s="151">
        <f t="shared" si="235"/>
        <v>-4330770</v>
      </c>
      <c r="K799" s="92">
        <f t="shared" si="236"/>
        <v>-0.14641170182030075</v>
      </c>
      <c r="L799" s="538"/>
    </row>
    <row r="800" spans="1:12">
      <c r="A800" s="10" t="s">
        <v>38</v>
      </c>
      <c r="B800" s="151">
        <f>B379</f>
        <v>6853000</v>
      </c>
      <c r="C800" s="151">
        <f>C379</f>
        <v>0</v>
      </c>
      <c r="D800" s="151">
        <f>D379</f>
        <v>1202000</v>
      </c>
      <c r="E800" s="151">
        <f>E379</f>
        <v>1269600</v>
      </c>
      <c r="F800" s="151">
        <f t="shared" si="238"/>
        <v>9324600</v>
      </c>
      <c r="G800" s="151">
        <f>G379</f>
        <v>9451000</v>
      </c>
      <c r="H800" s="151">
        <f t="shared" si="233"/>
        <v>2598000</v>
      </c>
      <c r="I800" s="92">
        <f t="shared" si="234"/>
        <v>0.37910404202539033</v>
      </c>
      <c r="J800" s="151">
        <f t="shared" si="235"/>
        <v>126400</v>
      </c>
      <c r="K800" s="92">
        <f t="shared" si="236"/>
        <v>1.3555541256461403E-2</v>
      </c>
      <c r="L800" s="538"/>
    </row>
    <row r="801" spans="1:12">
      <c r="A801" s="10" t="s">
        <v>35</v>
      </c>
      <c r="B801" s="151">
        <f>B391</f>
        <v>1367700</v>
      </c>
      <c r="C801" s="151">
        <f>C391</f>
        <v>0</v>
      </c>
      <c r="D801" s="151">
        <f>D391</f>
        <v>0</v>
      </c>
      <c r="E801" s="151">
        <f>E391</f>
        <v>14700</v>
      </c>
      <c r="F801" s="151">
        <f t="shared" si="238"/>
        <v>1382400</v>
      </c>
      <c r="G801" s="151">
        <f>G391</f>
        <v>1378400</v>
      </c>
      <c r="H801" s="151">
        <f t="shared" si="233"/>
        <v>10700</v>
      </c>
      <c r="I801" s="92">
        <f t="shared" si="234"/>
        <v>7.8233530745046437E-3</v>
      </c>
      <c r="J801" s="151">
        <f t="shared" si="235"/>
        <v>-4000</v>
      </c>
      <c r="K801" s="92">
        <f t="shared" si="236"/>
        <v>-2.8935185185185184E-3</v>
      </c>
      <c r="L801" s="538"/>
    </row>
    <row r="802" spans="1:12">
      <c r="A802" s="10" t="s">
        <v>404</v>
      </c>
      <c r="B802" s="151">
        <f>B399</f>
        <v>3622320</v>
      </c>
      <c r="C802" s="151">
        <f>C399</f>
        <v>0</v>
      </c>
      <c r="D802" s="151">
        <f>D399</f>
        <v>-21486</v>
      </c>
      <c r="E802" s="151">
        <f>E399</f>
        <v>161850</v>
      </c>
      <c r="F802" s="151">
        <f t="shared" si="238"/>
        <v>3762684</v>
      </c>
      <c r="G802" s="151">
        <f>G399</f>
        <v>4094886</v>
      </c>
      <c r="H802" s="151">
        <f t="shared" si="233"/>
        <v>472566</v>
      </c>
      <c r="I802" s="92">
        <f t="shared" si="234"/>
        <v>0.13045948452925196</v>
      </c>
      <c r="J802" s="151">
        <f t="shared" si="235"/>
        <v>332202</v>
      </c>
      <c r="K802" s="92">
        <f t="shared" si="236"/>
        <v>8.8288572731592657E-2</v>
      </c>
      <c r="L802" s="538"/>
    </row>
    <row r="803" spans="1:12">
      <c r="A803" s="147" t="s">
        <v>711</v>
      </c>
      <c r="B803" s="151">
        <f>B448</f>
        <v>9600</v>
      </c>
      <c r="C803" s="151">
        <f>C448</f>
        <v>0</v>
      </c>
      <c r="D803" s="151">
        <f>D448</f>
        <v>0</v>
      </c>
      <c r="E803" s="151">
        <f>E448</f>
        <v>0</v>
      </c>
      <c r="F803" s="151">
        <f t="shared" si="238"/>
        <v>9600</v>
      </c>
      <c r="G803" s="151">
        <f>G448</f>
        <v>12100</v>
      </c>
      <c r="H803" s="151">
        <f t="shared" si="233"/>
        <v>2500</v>
      </c>
      <c r="I803" s="92">
        <f t="shared" si="234"/>
        <v>0.26041666666666669</v>
      </c>
      <c r="J803" s="151">
        <f t="shared" si="235"/>
        <v>2500</v>
      </c>
      <c r="K803" s="92">
        <f t="shared" si="236"/>
        <v>0.26041666666666669</v>
      </c>
      <c r="L803" s="538"/>
    </row>
    <row r="804" spans="1:12">
      <c r="A804" s="147" t="s">
        <v>712</v>
      </c>
      <c r="B804" s="151">
        <f>B454</f>
        <v>20000</v>
      </c>
      <c r="C804" s="151">
        <f>C454</f>
        <v>0</v>
      </c>
      <c r="D804" s="151">
        <f>D454</f>
        <v>0</v>
      </c>
      <c r="E804" s="151">
        <f>E454</f>
        <v>0</v>
      </c>
      <c r="F804" s="151">
        <f t="shared" si="238"/>
        <v>20000</v>
      </c>
      <c r="G804" s="151">
        <f>G454</f>
        <v>23000</v>
      </c>
      <c r="H804" s="151">
        <f t="shared" si="233"/>
        <v>3000</v>
      </c>
      <c r="I804" s="92">
        <f t="shared" si="234"/>
        <v>0.15</v>
      </c>
      <c r="J804" s="151">
        <f t="shared" si="235"/>
        <v>3000</v>
      </c>
      <c r="K804" s="92">
        <f t="shared" si="236"/>
        <v>0.15</v>
      </c>
      <c r="L804" s="538"/>
    </row>
    <row r="805" spans="1:12">
      <c r="A805" s="147" t="s">
        <v>166</v>
      </c>
      <c r="B805" s="151">
        <f>B461</f>
        <v>483330</v>
      </c>
      <c r="C805" s="151">
        <f>C461</f>
        <v>0</v>
      </c>
      <c r="D805" s="151">
        <f>D461</f>
        <v>16160</v>
      </c>
      <c r="E805" s="151">
        <f>E461</f>
        <v>13800</v>
      </c>
      <c r="F805" s="151">
        <f t="shared" si="238"/>
        <v>513290</v>
      </c>
      <c r="G805" s="151">
        <f>G461</f>
        <v>579130</v>
      </c>
      <c r="H805" s="151">
        <f t="shared" si="233"/>
        <v>95800</v>
      </c>
      <c r="I805" s="92">
        <f t="shared" si="234"/>
        <v>0.19820826350526555</v>
      </c>
      <c r="J805" s="151">
        <f t="shared" si="235"/>
        <v>65840</v>
      </c>
      <c r="K805" s="92">
        <f t="shared" si="236"/>
        <v>0.12827056829472619</v>
      </c>
      <c r="L805" s="538"/>
    </row>
    <row r="806" spans="1:12">
      <c r="A806" s="147" t="s">
        <v>349</v>
      </c>
      <c r="B806" s="151">
        <f>B491</f>
        <v>4483100</v>
      </c>
      <c r="C806" s="151">
        <f>C491</f>
        <v>0</v>
      </c>
      <c r="D806" s="151">
        <f>D491</f>
        <v>-429840</v>
      </c>
      <c r="E806" s="151">
        <f>E491</f>
        <v>-446290</v>
      </c>
      <c r="F806" s="151">
        <f t="shared" si="238"/>
        <v>3606970</v>
      </c>
      <c r="G806" s="151">
        <f>G491</f>
        <v>4708500</v>
      </c>
      <c r="H806" s="151">
        <f t="shared" si="233"/>
        <v>225400</v>
      </c>
      <c r="I806" s="92">
        <f t="shared" si="234"/>
        <v>5.0277709620575047E-2</v>
      </c>
      <c r="J806" s="151">
        <f t="shared" si="235"/>
        <v>1101530</v>
      </c>
      <c r="K806" s="92">
        <f t="shared" si="236"/>
        <v>0.30538928796191817</v>
      </c>
      <c r="L806" s="538"/>
    </row>
    <row r="807" spans="1:12">
      <c r="A807" s="147" t="s">
        <v>173</v>
      </c>
      <c r="B807" s="151">
        <f>B534</f>
        <v>336203</v>
      </c>
      <c r="C807" s="151">
        <f>C534</f>
        <v>0</v>
      </c>
      <c r="D807" s="151">
        <f>D534</f>
        <v>7719</v>
      </c>
      <c r="E807" s="151">
        <f>E534</f>
        <v>11120</v>
      </c>
      <c r="F807" s="151">
        <f t="shared" si="238"/>
        <v>355042</v>
      </c>
      <c r="G807" s="151">
        <f>G534</f>
        <v>337676</v>
      </c>
      <c r="H807" s="151">
        <f t="shared" si="233"/>
        <v>1473</v>
      </c>
      <c r="I807" s="92">
        <f t="shared" si="234"/>
        <v>4.3812815471604956E-3</v>
      </c>
      <c r="J807" s="151">
        <f t="shared" si="235"/>
        <v>-17366</v>
      </c>
      <c r="K807" s="92">
        <f t="shared" si="236"/>
        <v>-4.8912523025444875E-2</v>
      </c>
      <c r="L807" s="538"/>
    </row>
    <row r="808" spans="1:12">
      <c r="A808" s="147" t="s">
        <v>174</v>
      </c>
      <c r="B808" s="151">
        <f>B560</f>
        <v>997575</v>
      </c>
      <c r="C808" s="151">
        <f>C560</f>
        <v>0</v>
      </c>
      <c r="D808" s="151">
        <f>D560</f>
        <v>37780</v>
      </c>
      <c r="E808" s="151">
        <f>E560</f>
        <v>175750</v>
      </c>
      <c r="F808" s="151">
        <f t="shared" si="238"/>
        <v>1211105</v>
      </c>
      <c r="G808" s="151">
        <f>G560</f>
        <v>1110625</v>
      </c>
      <c r="H808" s="151">
        <f t="shared" si="233"/>
        <v>113050</v>
      </c>
      <c r="I808" s="92">
        <f t="shared" si="234"/>
        <v>0.11332481267072651</v>
      </c>
      <c r="J808" s="151">
        <f t="shared" si="235"/>
        <v>-100480</v>
      </c>
      <c r="K808" s="92">
        <f t="shared" si="236"/>
        <v>-8.2965556248219607E-2</v>
      </c>
      <c r="L808" s="538"/>
    </row>
    <row r="809" spans="1:12">
      <c r="A809" s="147" t="s">
        <v>175</v>
      </c>
      <c r="B809" s="151">
        <f>B621</f>
        <v>862275</v>
      </c>
      <c r="C809" s="151">
        <f>C621</f>
        <v>0</v>
      </c>
      <c r="D809" s="151">
        <f>D621</f>
        <v>22512</v>
      </c>
      <c r="E809" s="151">
        <f>E621</f>
        <v>88257</v>
      </c>
      <c r="F809" s="151">
        <f t="shared" si="238"/>
        <v>973044</v>
      </c>
      <c r="G809" s="151">
        <f>G621</f>
        <v>1001729</v>
      </c>
      <c r="H809" s="151">
        <f t="shared" si="233"/>
        <v>139454</v>
      </c>
      <c r="I809" s="92">
        <f t="shared" si="234"/>
        <v>0.16172798701110436</v>
      </c>
      <c r="J809" s="151">
        <f t="shared" si="235"/>
        <v>28685</v>
      </c>
      <c r="K809" s="92">
        <f t="shared" si="236"/>
        <v>2.9479653540847073E-2</v>
      </c>
      <c r="L809" s="538"/>
    </row>
    <row r="810" spans="1:12">
      <c r="A810" s="147" t="s">
        <v>176</v>
      </c>
      <c r="B810" s="151">
        <f>B664</f>
        <v>772655</v>
      </c>
      <c r="C810" s="151">
        <f>C664</f>
        <v>0</v>
      </c>
      <c r="D810" s="151">
        <f>D664</f>
        <v>27560</v>
      </c>
      <c r="E810" s="151">
        <f>E664</f>
        <v>25100</v>
      </c>
      <c r="F810" s="151">
        <f t="shared" si="238"/>
        <v>825315</v>
      </c>
      <c r="G810" s="151">
        <f>G664</f>
        <v>818220</v>
      </c>
      <c r="H810" s="151">
        <f t="shared" si="233"/>
        <v>45565</v>
      </c>
      <c r="I810" s="92">
        <f t="shared" si="234"/>
        <v>5.8971986203415497E-2</v>
      </c>
      <c r="J810" s="151">
        <f t="shared" si="235"/>
        <v>-7095</v>
      </c>
      <c r="K810" s="92">
        <f t="shared" si="236"/>
        <v>-8.5967176169099071E-3</v>
      </c>
      <c r="L810" s="538"/>
    </row>
    <row r="811" spans="1:12">
      <c r="A811" s="147" t="s">
        <v>177</v>
      </c>
      <c r="B811" s="151">
        <f>B716</f>
        <v>268940</v>
      </c>
      <c r="C811" s="151">
        <f>C716</f>
        <v>0</v>
      </c>
      <c r="D811" s="151">
        <f>D716</f>
        <v>8800</v>
      </c>
      <c r="E811" s="151">
        <f>E716</f>
        <v>-12556</v>
      </c>
      <c r="F811" s="151">
        <f t="shared" si="238"/>
        <v>265184</v>
      </c>
      <c r="G811" s="151">
        <f>G716</f>
        <v>297580</v>
      </c>
      <c r="H811" s="151">
        <f t="shared" si="233"/>
        <v>28640</v>
      </c>
      <c r="I811" s="92">
        <f t="shared" si="234"/>
        <v>0.10649215438387745</v>
      </c>
      <c r="J811" s="151">
        <f t="shared" si="235"/>
        <v>32396</v>
      </c>
      <c r="K811" s="92">
        <f t="shared" si="236"/>
        <v>0.12216423313623748</v>
      </c>
      <c r="L811" s="538"/>
    </row>
    <row r="812" spans="1:12">
      <c r="A812" s="147" t="s">
        <v>178</v>
      </c>
      <c r="B812" s="151">
        <f>B746</f>
        <v>1524113</v>
      </c>
      <c r="C812" s="151">
        <f>C746</f>
        <v>0</v>
      </c>
      <c r="D812" s="151">
        <f>D746</f>
        <v>152000</v>
      </c>
      <c r="E812" s="151">
        <f>E746</f>
        <v>70135</v>
      </c>
      <c r="F812" s="151">
        <f t="shared" si="238"/>
        <v>1746248</v>
      </c>
      <c r="G812" s="151">
        <f>G746</f>
        <v>1751125</v>
      </c>
      <c r="H812" s="151">
        <f t="shared" si="233"/>
        <v>227012</v>
      </c>
      <c r="I812" s="92">
        <f t="shared" si="234"/>
        <v>0.14894696128174223</v>
      </c>
      <c r="J812" s="151">
        <f t="shared" si="235"/>
        <v>4877</v>
      </c>
      <c r="K812" s="92">
        <f t="shared" si="236"/>
        <v>2.7928450025425941E-3</v>
      </c>
      <c r="L812" s="538"/>
    </row>
    <row r="813" spans="1:12">
      <c r="A813" s="146" t="s">
        <v>713</v>
      </c>
      <c r="B813" s="13">
        <f>SUM(B793:B812)</f>
        <v>89458539</v>
      </c>
      <c r="C813" s="13">
        <f t="shared" ref="C813:G813" si="239">SUM(C793:C812)</f>
        <v>0</v>
      </c>
      <c r="D813" s="13">
        <f t="shared" si="239"/>
        <v>4842245</v>
      </c>
      <c r="E813" s="154">
        <f t="shared" ref="E813" si="240">SUM(E793:E812)</f>
        <v>4962164</v>
      </c>
      <c r="F813" s="154">
        <f t="shared" si="238"/>
        <v>99262948</v>
      </c>
      <c r="G813" s="154">
        <f t="shared" si="239"/>
        <v>96159536</v>
      </c>
      <c r="H813" s="13">
        <f t="shared" si="233"/>
        <v>6700997</v>
      </c>
      <c r="I813" s="163">
        <f t="shared" si="234"/>
        <v>7.4906175250637613E-2</v>
      </c>
      <c r="J813" s="13">
        <f t="shared" si="235"/>
        <v>-3103412</v>
      </c>
      <c r="K813" s="163">
        <f t="shared" si="236"/>
        <v>-3.1264556035551151E-2</v>
      </c>
    </row>
    <row r="814" spans="1:12">
      <c r="A814" s="35"/>
      <c r="B814" s="22"/>
      <c r="C814" s="54"/>
      <c r="D814" s="54"/>
      <c r="E814" s="54"/>
      <c r="F814" s="54">
        <f t="shared" ref="F814" si="241">SUM(B814:E814)</f>
        <v>0</v>
      </c>
      <c r="G814" s="54"/>
      <c r="H814" s="54"/>
      <c r="I814" s="54"/>
      <c r="J814" s="54"/>
      <c r="K814" s="54"/>
    </row>
    <row r="815" spans="1:12">
      <c r="A815" s="38"/>
      <c r="B815" s="22"/>
      <c r="C815" s="54"/>
      <c r="D815" s="54"/>
      <c r="E815" s="54"/>
      <c r="F815" s="54"/>
      <c r="G815" s="54"/>
      <c r="H815" s="54"/>
      <c r="I815" s="54"/>
      <c r="J815" s="54"/>
      <c r="K815" s="54"/>
    </row>
    <row r="816" spans="1:12">
      <c r="A816" s="40"/>
      <c r="B816" s="22"/>
      <c r="C816" s="54"/>
      <c r="D816" s="54"/>
      <c r="E816" s="54"/>
      <c r="F816" s="54"/>
      <c r="G816" s="54"/>
      <c r="H816" s="54"/>
      <c r="I816" s="54"/>
      <c r="J816" s="54"/>
      <c r="K816" s="54"/>
    </row>
    <row r="817" spans="1:11">
      <c r="A817" s="40"/>
      <c r="B817" s="22"/>
      <c r="C817" s="54"/>
      <c r="D817" s="54"/>
      <c r="E817" s="54"/>
      <c r="F817" s="54"/>
      <c r="G817" s="54"/>
      <c r="H817" s="54"/>
      <c r="I817" s="54"/>
      <c r="J817" s="54"/>
      <c r="K817" s="54"/>
    </row>
    <row r="818" spans="1:11">
      <c r="A818" s="34"/>
      <c r="B818" s="22"/>
      <c r="C818" s="54"/>
      <c r="D818" s="54"/>
      <c r="E818" s="54"/>
      <c r="F818" s="54"/>
      <c r="G818" s="54"/>
      <c r="H818" s="54"/>
      <c r="I818" s="54"/>
      <c r="J818" s="54"/>
      <c r="K818" s="54"/>
    </row>
    <row r="819" spans="1:11">
      <c r="A819" s="36"/>
      <c r="B819" s="22"/>
      <c r="C819" s="54"/>
      <c r="D819" s="54"/>
      <c r="E819" s="54"/>
      <c r="F819" s="54"/>
      <c r="G819" s="54"/>
      <c r="H819" s="54"/>
      <c r="I819" s="54"/>
      <c r="J819" s="54"/>
      <c r="K819" s="54"/>
    </row>
    <row r="820" spans="1:11">
      <c r="A820" s="37"/>
      <c r="B820" s="22"/>
      <c r="C820" s="54"/>
      <c r="D820" s="54"/>
      <c r="E820" s="54"/>
      <c r="F820" s="54"/>
      <c r="G820" s="54"/>
      <c r="H820" s="54"/>
      <c r="I820" s="54"/>
      <c r="J820" s="54"/>
      <c r="K820" s="54"/>
    </row>
    <row r="821" spans="1:11">
      <c r="A821" s="37"/>
      <c r="B821" s="22"/>
      <c r="C821" s="54"/>
      <c r="D821" s="54"/>
      <c r="E821" s="54"/>
      <c r="F821" s="54"/>
      <c r="G821" s="54"/>
      <c r="H821" s="54"/>
      <c r="I821" s="54"/>
      <c r="J821" s="54"/>
      <c r="K821" s="54"/>
    </row>
    <row r="822" spans="1:11">
      <c r="A822" s="38"/>
      <c r="B822" s="22"/>
      <c r="C822" s="54"/>
      <c r="D822" s="54"/>
      <c r="E822" s="54"/>
      <c r="F822" s="54"/>
      <c r="G822" s="54"/>
      <c r="H822" s="54"/>
      <c r="I822" s="54"/>
      <c r="J822" s="54"/>
      <c r="K822" s="54"/>
    </row>
    <row r="823" spans="1:11">
      <c r="A823" s="40"/>
      <c r="B823" s="22"/>
      <c r="C823" s="54"/>
      <c r="D823" s="54"/>
      <c r="E823" s="54"/>
      <c r="F823" s="54"/>
      <c r="G823" s="54"/>
      <c r="H823" s="54"/>
      <c r="I823" s="54"/>
      <c r="J823" s="54"/>
      <c r="K823" s="54"/>
    </row>
    <row r="824" spans="1:11">
      <c r="A824" s="34"/>
      <c r="B824" s="22"/>
      <c r="C824" s="54"/>
      <c r="D824" s="54"/>
      <c r="E824" s="54"/>
      <c r="F824" s="54"/>
      <c r="G824" s="54"/>
      <c r="H824" s="54"/>
      <c r="I824" s="54"/>
      <c r="J824" s="54"/>
      <c r="K824" s="54"/>
    </row>
    <row r="825" spans="1:11">
      <c r="A825" s="36"/>
      <c r="B825" s="22"/>
      <c r="C825" s="54"/>
      <c r="D825" s="54"/>
      <c r="E825" s="54"/>
      <c r="F825" s="54"/>
      <c r="G825" s="54"/>
      <c r="H825" s="54"/>
      <c r="I825" s="54"/>
      <c r="J825" s="54"/>
      <c r="K825" s="54"/>
    </row>
    <row r="826" spans="1:11">
      <c r="A826" s="37"/>
      <c r="B826" s="22"/>
      <c r="C826" s="54"/>
      <c r="D826" s="54"/>
      <c r="E826" s="54"/>
      <c r="F826" s="54"/>
      <c r="G826" s="54"/>
      <c r="H826" s="54"/>
      <c r="I826" s="54"/>
      <c r="J826" s="54"/>
      <c r="K826" s="54"/>
    </row>
    <row r="827" spans="1:11">
      <c r="A827" s="35"/>
      <c r="B827" s="22"/>
      <c r="C827" s="54"/>
      <c r="D827" s="54"/>
      <c r="E827" s="54"/>
      <c r="F827" s="54"/>
      <c r="G827" s="54"/>
      <c r="H827" s="54"/>
      <c r="I827" s="54"/>
      <c r="J827" s="54"/>
      <c r="K827" s="54"/>
    </row>
    <row r="828" spans="1:11">
      <c r="A828" s="34"/>
      <c r="B828" s="22"/>
      <c r="C828" s="54"/>
      <c r="D828" s="54"/>
      <c r="E828" s="54"/>
      <c r="F828" s="54"/>
      <c r="G828" s="54"/>
      <c r="H828" s="54"/>
      <c r="I828" s="54"/>
      <c r="J828" s="54"/>
      <c r="K828" s="54"/>
    </row>
    <row r="829" spans="1:11">
      <c r="A829" s="38"/>
      <c r="B829" s="22"/>
      <c r="C829" s="54"/>
      <c r="D829" s="54"/>
      <c r="E829" s="54"/>
      <c r="F829" s="54"/>
      <c r="G829" s="54"/>
      <c r="H829" s="54"/>
      <c r="I829" s="54"/>
      <c r="J829" s="54"/>
      <c r="K829" s="54"/>
    </row>
    <row r="830" spans="1:11">
      <c r="A830" s="39"/>
      <c r="B830" s="22"/>
      <c r="C830" s="54"/>
      <c r="D830" s="54"/>
      <c r="E830" s="54"/>
    </row>
    <row r="831" spans="1:11">
      <c r="A831" s="39"/>
      <c r="B831" s="22"/>
      <c r="C831" s="54"/>
      <c r="D831" s="54"/>
      <c r="E831" s="54"/>
    </row>
    <row r="832" spans="1:11">
      <c r="A832" s="36"/>
      <c r="B832" s="22"/>
      <c r="C832" s="54"/>
      <c r="D832" s="54"/>
      <c r="E832" s="54"/>
    </row>
    <row r="833" spans="1:5">
      <c r="A833" s="37"/>
      <c r="B833" s="22"/>
      <c r="C833" s="54"/>
      <c r="D833" s="54"/>
      <c r="E833" s="54"/>
    </row>
    <row r="834" spans="1:5">
      <c r="A834" s="35"/>
      <c r="B834" s="22"/>
      <c r="C834" s="54"/>
      <c r="D834" s="54"/>
      <c r="E834" s="54"/>
    </row>
    <row r="835" spans="1:5">
      <c r="A835" s="34"/>
      <c r="B835" s="22"/>
      <c r="C835" s="54"/>
      <c r="D835" s="54"/>
      <c r="E835" s="54"/>
    </row>
    <row r="836" spans="1:5">
      <c r="A836" s="38"/>
      <c r="B836" s="22"/>
      <c r="C836" s="54"/>
      <c r="D836" s="54"/>
      <c r="E836" s="54"/>
    </row>
    <row r="837" spans="1:5">
      <c r="A837" s="39"/>
      <c r="B837" s="22"/>
      <c r="C837" s="54"/>
      <c r="D837" s="54"/>
      <c r="E837" s="54"/>
    </row>
    <row r="838" spans="1:5">
      <c r="A838" s="5"/>
      <c r="B838" s="22"/>
      <c r="C838" s="54"/>
      <c r="D838" s="54"/>
      <c r="E838" s="54"/>
    </row>
    <row r="839" spans="1:5">
      <c r="B839" s="22"/>
    </row>
    <row r="840" spans="1:5">
      <c r="B840" s="22"/>
    </row>
    <row r="841" spans="1:5">
      <c r="B841" s="22"/>
    </row>
    <row r="842" spans="1:5">
      <c r="B842" s="22"/>
    </row>
    <row r="843" spans="1:5">
      <c r="B843" s="22"/>
    </row>
    <row r="844" spans="1:5">
      <c r="B844" s="22"/>
    </row>
    <row r="845" spans="1:5">
      <c r="B845" s="22"/>
    </row>
    <row r="846" spans="1:5">
      <c r="B846" s="22"/>
    </row>
    <row r="847" spans="1:5">
      <c r="B847" s="22"/>
    </row>
    <row r="848" spans="1:5">
      <c r="B848" s="22"/>
    </row>
    <row r="849" spans="2:2">
      <c r="B849" s="22"/>
    </row>
  </sheetData>
  <autoFilter ref="A5:K814" xr:uid="{00000000-0001-0000-0600-000000000000}"/>
  <mergeCells count="3">
    <mergeCell ref="J3:K3"/>
    <mergeCell ref="B3:F3"/>
    <mergeCell ref="H3:I3"/>
  </mergeCells>
  <phoneticPr fontId="35" type="noConversion"/>
  <printOptions gridLines="1"/>
  <pageMargins left="0.19685039370078741" right="0.19685039370078741" top="0.47244094488188981" bottom="0.98425196850393704" header="0.51181102362204722" footer="0.51181102362204722"/>
  <pageSetup paperSize="9" scale="80" fitToHeight="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79998168889431442"/>
  </sheetPr>
  <dimension ref="A1:K136"/>
  <sheetViews>
    <sheetView showZeros="0" zoomScaleNormal="100" workbookViewId="0">
      <pane xSplit="1" ySplit="3" topLeftCell="B4" activePane="bottomRight" state="frozen"/>
      <selection activeCell="N23" sqref="N23"/>
      <selection pane="topRight" activeCell="N23" sqref="N23"/>
      <selection pane="bottomLeft" activeCell="N23" sqref="N23"/>
      <selection pane="bottomRight"/>
    </sheetView>
  </sheetViews>
  <sheetFormatPr defaultColWidth="9.44140625" defaultRowHeight="13.2"/>
  <cols>
    <col min="1" max="1" width="51.77734375" style="17" customWidth="1"/>
    <col min="2" max="2" width="12.5546875" style="25" customWidth="1"/>
    <col min="3" max="5" width="12.5546875" style="25" hidden="1" customWidth="1"/>
    <col min="6" max="6" width="11.44140625" style="17" bestFit="1" customWidth="1"/>
    <col min="7" max="7" width="11.5546875" style="17" bestFit="1" customWidth="1"/>
    <col min="8" max="8" width="11.5546875" style="17" customWidth="1"/>
    <col min="9" max="9" width="6.21875" style="17" bestFit="1" customWidth="1"/>
    <col min="10" max="10" width="10.5546875" style="17" bestFit="1" customWidth="1"/>
    <col min="11" max="11" width="5.77734375" style="17" bestFit="1" customWidth="1"/>
    <col min="12" max="12" width="10" style="17" bestFit="1" customWidth="1"/>
    <col min="13" max="16384" width="9.44140625" style="17"/>
  </cols>
  <sheetData>
    <row r="1" spans="1:11" ht="13.8">
      <c r="A1" s="11" t="s">
        <v>1</v>
      </c>
      <c r="F1" s="25"/>
    </row>
    <row r="2" spans="1:11" ht="40.5" customHeight="1">
      <c r="A2" s="11"/>
      <c r="B2" s="760">
        <v>2022</v>
      </c>
      <c r="C2" s="761"/>
      <c r="D2" s="761"/>
      <c r="E2" s="761"/>
      <c r="F2" s="762"/>
      <c r="G2" s="638">
        <v>2023</v>
      </c>
      <c r="H2" s="758" t="s">
        <v>1212</v>
      </c>
      <c r="I2" s="759"/>
      <c r="J2" s="756" t="s">
        <v>1213</v>
      </c>
      <c r="K2" s="757"/>
    </row>
    <row r="3" spans="1:11" ht="39.6">
      <c r="A3" s="16"/>
      <c r="B3" s="644" t="s">
        <v>667</v>
      </c>
      <c r="C3" s="644" t="s">
        <v>827</v>
      </c>
      <c r="D3" s="644" t="s">
        <v>828</v>
      </c>
      <c r="E3" s="644" t="s">
        <v>1187</v>
      </c>
      <c r="F3" s="644" t="s">
        <v>668</v>
      </c>
      <c r="G3" s="639" t="s">
        <v>1211</v>
      </c>
      <c r="H3" s="640" t="s">
        <v>14</v>
      </c>
      <c r="I3" s="641" t="s">
        <v>743</v>
      </c>
      <c r="J3" s="642" t="s">
        <v>14</v>
      </c>
      <c r="K3" s="643" t="s">
        <v>743</v>
      </c>
    </row>
    <row r="4" spans="1:11" ht="13.8">
      <c r="A4" s="16"/>
      <c r="B4" s="45"/>
      <c r="C4" s="45"/>
      <c r="D4" s="700"/>
      <c r="E4" s="700"/>
      <c r="F4" s="701"/>
      <c r="G4" s="701"/>
      <c r="H4" s="701"/>
      <c r="I4" s="701"/>
    </row>
    <row r="5" spans="1:11">
      <c r="A5" s="196" t="s">
        <v>23</v>
      </c>
      <c r="B5" s="197">
        <f>B6+B27</f>
        <v>149860731</v>
      </c>
      <c r="C5" s="197">
        <f>C6+C27</f>
        <v>0</v>
      </c>
      <c r="D5" s="123">
        <f>D6+D27+D37</f>
        <v>8814815</v>
      </c>
      <c r="E5" s="123">
        <f>E6+E27+E37</f>
        <v>4109530</v>
      </c>
      <c r="F5" s="197">
        <f>SUM(B5:E5)</f>
        <v>162785076</v>
      </c>
      <c r="G5" s="197">
        <f>G6+G27</f>
        <v>171663257</v>
      </c>
      <c r="H5" s="197">
        <f>G5-B5</f>
        <v>21802526</v>
      </c>
      <c r="I5" s="238">
        <f>H5/B5</f>
        <v>0.14548525056907669</v>
      </c>
      <c r="J5" s="197">
        <f>G5-F5</f>
        <v>8878181</v>
      </c>
      <c r="K5" s="238">
        <f t="shared" ref="K5" si="0">IF(G5=0,"",J5/F5)</f>
        <v>5.4539280984210126E-2</v>
      </c>
    </row>
    <row r="6" spans="1:11">
      <c r="A6" s="198" t="s">
        <v>5</v>
      </c>
      <c r="B6" s="199">
        <f t="shared" ref="B6:G6" si="1">SUM(B7:B25)</f>
        <v>138017878</v>
      </c>
      <c r="C6" s="199">
        <f t="shared" si="1"/>
        <v>0</v>
      </c>
      <c r="D6" s="199">
        <f t="shared" si="1"/>
        <v>6459555</v>
      </c>
      <c r="E6" s="199">
        <f t="shared" si="1"/>
        <v>4483848</v>
      </c>
      <c r="F6" s="199">
        <f t="shared" si="1"/>
        <v>148432870</v>
      </c>
      <c r="G6" s="199">
        <f t="shared" si="1"/>
        <v>165055721</v>
      </c>
      <c r="H6" s="199">
        <f t="shared" ref="H6:H69" si="2">G6-B6</f>
        <v>27037843</v>
      </c>
      <c r="I6" s="239">
        <f t="shared" ref="I6:I62" si="3">H6/B6</f>
        <v>0.19590101943169999</v>
      </c>
      <c r="J6" s="199">
        <f t="shared" ref="J6:J76" si="4">G6-F6</f>
        <v>16622851</v>
      </c>
      <c r="K6" s="239">
        <f t="shared" ref="K6:K82" si="5">IF(G6=0,"",J6/F6)</f>
        <v>0.11198901564053838</v>
      </c>
    </row>
    <row r="7" spans="1:11">
      <c r="A7" s="200" t="s">
        <v>439</v>
      </c>
      <c r="B7" s="85">
        <f>105281512+7099401</f>
        <v>112380913</v>
      </c>
      <c r="C7" s="75"/>
      <c r="D7" s="201">
        <f>-133384</f>
        <v>-133384</v>
      </c>
      <c r="E7" s="201"/>
      <c r="F7" s="85">
        <f t="shared" ref="F7:F76" si="6">SUM(B7:E7)</f>
        <v>112247529</v>
      </c>
      <c r="G7" s="85">
        <v>138850246</v>
      </c>
      <c r="H7" s="85">
        <f t="shared" si="2"/>
        <v>26469333</v>
      </c>
      <c r="I7" s="93">
        <f t="shared" si="3"/>
        <v>0.23553228295982967</v>
      </c>
      <c r="J7" s="85">
        <f t="shared" si="4"/>
        <v>26602717</v>
      </c>
      <c r="K7" s="93">
        <f t="shared" si="5"/>
        <v>0.2370004688477374</v>
      </c>
    </row>
    <row r="8" spans="1:11">
      <c r="A8" s="84" t="s">
        <v>435</v>
      </c>
      <c r="B8" s="202">
        <v>2347144</v>
      </c>
      <c r="C8" s="75"/>
      <c r="D8" s="201">
        <v>-35667</v>
      </c>
      <c r="E8" s="201"/>
      <c r="F8" s="202">
        <f t="shared" si="6"/>
        <v>2311477</v>
      </c>
      <c r="G8" s="202">
        <v>2311477</v>
      </c>
      <c r="H8" s="202">
        <f t="shared" si="2"/>
        <v>-35667</v>
      </c>
      <c r="I8" s="240">
        <f t="shared" si="3"/>
        <v>-1.5195914694624616E-2</v>
      </c>
      <c r="J8" s="85">
        <f t="shared" ref="J8:J24" si="7">G8-F8</f>
        <v>0</v>
      </c>
      <c r="K8" s="93">
        <f t="shared" ref="K8:K24" si="8">IF(G8=0,"",J8/F8)</f>
        <v>0</v>
      </c>
    </row>
    <row r="9" spans="1:11">
      <c r="A9" s="203" t="s">
        <v>436</v>
      </c>
      <c r="B9" s="85">
        <v>1286986</v>
      </c>
      <c r="C9" s="75"/>
      <c r="D9" s="201">
        <v>-314530</v>
      </c>
      <c r="E9" s="201"/>
      <c r="F9" s="85">
        <f t="shared" si="6"/>
        <v>972456</v>
      </c>
      <c r="G9" s="85">
        <v>972456</v>
      </c>
      <c r="H9" s="85">
        <f t="shared" si="2"/>
        <v>-314530</v>
      </c>
      <c r="I9" s="93">
        <f t="shared" si="3"/>
        <v>-0.2443927128966438</v>
      </c>
      <c r="J9" s="85">
        <f t="shared" si="7"/>
        <v>0</v>
      </c>
      <c r="K9" s="93">
        <f t="shared" si="8"/>
        <v>0</v>
      </c>
    </row>
    <row r="10" spans="1:11" ht="22.8">
      <c r="A10" s="84" t="s">
        <v>740</v>
      </c>
      <c r="B10" s="85"/>
      <c r="C10" s="75"/>
      <c r="D10" s="201">
        <f>1225744+8972</f>
        <v>1234716</v>
      </c>
      <c r="E10" s="201"/>
      <c r="F10" s="85">
        <f t="shared" si="6"/>
        <v>1234716</v>
      </c>
      <c r="G10" s="85"/>
      <c r="H10" s="85">
        <f t="shared" si="2"/>
        <v>0</v>
      </c>
      <c r="I10" s="93"/>
      <c r="J10" s="85">
        <f t="shared" si="7"/>
        <v>-1234716</v>
      </c>
      <c r="K10" s="93" t="str">
        <f t="shared" si="8"/>
        <v/>
      </c>
    </row>
    <row r="11" spans="1:11">
      <c r="A11" s="203" t="s">
        <v>795</v>
      </c>
      <c r="B11" s="85"/>
      <c r="C11" s="75"/>
      <c r="D11" s="201">
        <v>6625</v>
      </c>
      <c r="E11" s="201"/>
      <c r="F11" s="85">
        <f t="shared" si="6"/>
        <v>6625</v>
      </c>
      <c r="G11" s="85"/>
      <c r="H11" s="85">
        <f t="shared" si="2"/>
        <v>0</v>
      </c>
      <c r="I11" s="93"/>
      <c r="J11" s="85">
        <f t="shared" si="7"/>
        <v>-6625</v>
      </c>
      <c r="K11" s="93" t="str">
        <f t="shared" si="8"/>
        <v/>
      </c>
    </row>
    <row r="12" spans="1:11" ht="22.8">
      <c r="A12" s="84" t="s">
        <v>437</v>
      </c>
      <c r="B12" s="85"/>
      <c r="C12" s="75"/>
      <c r="D12" s="204">
        <v>18449</v>
      </c>
      <c r="E12" s="204"/>
      <c r="F12" s="85">
        <f t="shared" si="6"/>
        <v>18449</v>
      </c>
      <c r="G12" s="85"/>
      <c r="H12" s="85">
        <f t="shared" si="2"/>
        <v>0</v>
      </c>
      <c r="I12" s="93"/>
      <c r="J12" s="85">
        <f t="shared" si="7"/>
        <v>-18449</v>
      </c>
      <c r="K12" s="93" t="str">
        <f t="shared" si="8"/>
        <v/>
      </c>
    </row>
    <row r="13" spans="1:11" s="20" customFormat="1">
      <c r="A13" s="203" t="s">
        <v>796</v>
      </c>
      <c r="B13" s="85">
        <v>244619</v>
      </c>
      <c r="C13" s="75"/>
      <c r="D13" s="204"/>
      <c r="E13" s="204"/>
      <c r="F13" s="85">
        <f t="shared" si="6"/>
        <v>244619</v>
      </c>
      <c r="G13" s="85">
        <v>368255</v>
      </c>
      <c r="H13" s="85">
        <f t="shared" si="2"/>
        <v>123636</v>
      </c>
      <c r="I13" s="93">
        <f t="shared" si="3"/>
        <v>0.50542271859503962</v>
      </c>
      <c r="J13" s="85">
        <f t="shared" si="7"/>
        <v>123636</v>
      </c>
      <c r="K13" s="93">
        <f t="shared" si="8"/>
        <v>0.50542271859503962</v>
      </c>
    </row>
    <row r="14" spans="1:11" ht="22.8">
      <c r="A14" s="84" t="s">
        <v>740</v>
      </c>
      <c r="B14" s="202">
        <v>1250000</v>
      </c>
      <c r="C14" s="75"/>
      <c r="D14" s="204"/>
      <c r="E14" s="204"/>
      <c r="F14" s="202">
        <f t="shared" si="6"/>
        <v>1250000</v>
      </c>
      <c r="G14" s="85">
        <f>1538283+5979</f>
        <v>1544262</v>
      </c>
      <c r="H14" s="202">
        <f t="shared" si="2"/>
        <v>294262</v>
      </c>
      <c r="I14" s="240">
        <f t="shared" si="3"/>
        <v>0.2354096</v>
      </c>
      <c r="J14" s="85">
        <f t="shared" si="7"/>
        <v>294262</v>
      </c>
      <c r="K14" s="93">
        <f t="shared" si="8"/>
        <v>0.2354096</v>
      </c>
    </row>
    <row r="15" spans="1:11" ht="22.8">
      <c r="A15" s="84" t="s">
        <v>1176</v>
      </c>
      <c r="B15" s="202"/>
      <c r="C15" s="75"/>
      <c r="D15" s="204"/>
      <c r="E15" s="201">
        <f>1155704+1568094-68548+378000+19560</f>
        <v>3052810</v>
      </c>
      <c r="F15" s="202">
        <f t="shared" si="6"/>
        <v>3052810</v>
      </c>
      <c r="G15" s="85"/>
      <c r="H15" s="202">
        <f t="shared" si="2"/>
        <v>0</v>
      </c>
      <c r="I15" s="240"/>
      <c r="J15" s="85">
        <f t="shared" si="7"/>
        <v>-3052810</v>
      </c>
      <c r="K15" s="93" t="str">
        <f t="shared" si="8"/>
        <v/>
      </c>
    </row>
    <row r="16" spans="1:11" ht="22.8">
      <c r="A16" s="84" t="s">
        <v>1175</v>
      </c>
      <c r="B16" s="202"/>
      <c r="C16" s="75"/>
      <c r="D16" s="204"/>
      <c r="E16" s="566">
        <f>437565+704475+40765</f>
        <v>1182805</v>
      </c>
      <c r="F16" s="202">
        <f t="shared" si="6"/>
        <v>1182805</v>
      </c>
      <c r="G16" s="85"/>
      <c r="H16" s="202">
        <f t="shared" si="2"/>
        <v>0</v>
      </c>
      <c r="I16" s="240"/>
      <c r="J16" s="85">
        <f t="shared" si="7"/>
        <v>-1182805</v>
      </c>
      <c r="K16" s="93" t="str">
        <f t="shared" si="8"/>
        <v/>
      </c>
    </row>
    <row r="17" spans="1:11" ht="22.8">
      <c r="A17" s="84" t="s">
        <v>1174</v>
      </c>
      <c r="B17" s="202"/>
      <c r="C17" s="75"/>
      <c r="D17" s="204"/>
      <c r="E17" s="566">
        <f>117828+250000-132172</f>
        <v>235656</v>
      </c>
      <c r="F17" s="202">
        <f t="shared" si="6"/>
        <v>235656</v>
      </c>
      <c r="G17" s="85"/>
      <c r="H17" s="202">
        <f t="shared" si="2"/>
        <v>0</v>
      </c>
      <c r="I17" s="240"/>
      <c r="J17" s="85">
        <f t="shared" si="7"/>
        <v>-235656</v>
      </c>
      <c r="K17" s="93" t="str">
        <f t="shared" si="8"/>
        <v/>
      </c>
    </row>
    <row r="18" spans="1:11">
      <c r="A18" s="84" t="s">
        <v>797</v>
      </c>
      <c r="B18" s="202">
        <v>953466</v>
      </c>
      <c r="C18" s="75"/>
      <c r="D18" s="201">
        <v>-29647</v>
      </c>
      <c r="E18" s="201"/>
      <c r="F18" s="202">
        <f t="shared" si="6"/>
        <v>923819</v>
      </c>
      <c r="G18" s="202">
        <v>923819</v>
      </c>
      <c r="H18" s="202">
        <f t="shared" si="2"/>
        <v>-29647</v>
      </c>
      <c r="I18" s="240">
        <f t="shared" si="3"/>
        <v>-3.109392469159886E-2</v>
      </c>
      <c r="J18" s="85">
        <f t="shared" si="7"/>
        <v>0</v>
      </c>
      <c r="K18" s="93">
        <f t="shared" si="8"/>
        <v>0</v>
      </c>
    </row>
    <row r="19" spans="1:11">
      <c r="A19" s="203" t="s">
        <v>438</v>
      </c>
      <c r="B19" s="85">
        <v>464368</v>
      </c>
      <c r="C19" s="75"/>
      <c r="D19" s="201">
        <v>41893</v>
      </c>
      <c r="E19" s="201"/>
      <c r="F19" s="85">
        <f t="shared" si="6"/>
        <v>506261</v>
      </c>
      <c r="G19" s="85">
        <v>506261</v>
      </c>
      <c r="H19" s="85">
        <f t="shared" si="2"/>
        <v>41893</v>
      </c>
      <c r="I19" s="505">
        <f t="shared" si="3"/>
        <v>9.0215088033628502E-2</v>
      </c>
      <c r="J19" s="85">
        <f t="shared" si="7"/>
        <v>0</v>
      </c>
      <c r="K19" s="93">
        <f t="shared" si="8"/>
        <v>0</v>
      </c>
    </row>
    <row r="20" spans="1:11" s="75" customFormat="1">
      <c r="A20" s="203" t="s">
        <v>798</v>
      </c>
      <c r="B20" s="85"/>
      <c r="D20" s="201">
        <v>5671100</v>
      </c>
      <c r="E20" s="201">
        <v>-550834</v>
      </c>
      <c r="F20" s="85">
        <f t="shared" si="6"/>
        <v>5120266</v>
      </c>
      <c r="G20" s="85"/>
      <c r="H20" s="85">
        <f t="shared" si="2"/>
        <v>0</v>
      </c>
      <c r="I20" s="93"/>
      <c r="J20" s="85">
        <f t="shared" si="7"/>
        <v>-5120266</v>
      </c>
      <c r="K20" s="93" t="str">
        <f t="shared" si="8"/>
        <v/>
      </c>
    </row>
    <row r="21" spans="1:11" s="75" customFormat="1">
      <c r="A21" s="203" t="s">
        <v>799</v>
      </c>
      <c r="B21" s="85">
        <v>90382</v>
      </c>
      <c r="D21" s="10"/>
      <c r="E21" s="10"/>
      <c r="F21" s="85">
        <f>SUM(B21:E21)</f>
        <v>90382</v>
      </c>
      <c r="G21" s="85">
        <v>86100</v>
      </c>
      <c r="H21" s="85">
        <f>G21-B21</f>
        <v>-4282</v>
      </c>
      <c r="I21" s="93">
        <f>H21/B21</f>
        <v>-4.737669004890354E-2</v>
      </c>
      <c r="J21" s="85">
        <f t="shared" si="7"/>
        <v>-4282</v>
      </c>
      <c r="K21" s="93">
        <f t="shared" si="8"/>
        <v>-4.737669004890354E-2</v>
      </c>
    </row>
    <row r="22" spans="1:11" s="75" customFormat="1">
      <c r="A22" s="699" t="s">
        <v>1158</v>
      </c>
      <c r="B22" s="85"/>
      <c r="D22" s="10"/>
      <c r="E22" s="204">
        <v>35000</v>
      </c>
      <c r="F22" s="85">
        <f>SUM(B22:E22)</f>
        <v>35000</v>
      </c>
      <c r="G22" s="85"/>
      <c r="H22" s="85">
        <f>G22-B22</f>
        <v>0</v>
      </c>
      <c r="I22" s="93"/>
      <c r="J22" s="85">
        <f t="shared" si="7"/>
        <v>-35000</v>
      </c>
      <c r="K22" s="93" t="str">
        <f t="shared" si="8"/>
        <v/>
      </c>
    </row>
    <row r="23" spans="1:11" s="75" customFormat="1">
      <c r="A23" s="699" t="s">
        <v>1206</v>
      </c>
      <c r="B23" s="85"/>
      <c r="D23" s="10"/>
      <c r="E23" s="204"/>
      <c r="F23" s="85"/>
      <c r="G23" s="85">
        <v>492845</v>
      </c>
      <c r="H23" s="85">
        <f>G23-B23</f>
        <v>492845</v>
      </c>
      <c r="I23" s="93"/>
      <c r="J23" s="85">
        <f t="shared" si="7"/>
        <v>492845</v>
      </c>
      <c r="K23" s="93"/>
    </row>
    <row r="24" spans="1:11" s="75" customFormat="1" ht="22.8">
      <c r="A24" s="84" t="s">
        <v>1161</v>
      </c>
      <c r="B24" s="85"/>
      <c r="D24" s="10"/>
      <c r="E24" s="204">
        <v>528411</v>
      </c>
      <c r="F24" s="85"/>
      <c r="G24" s="85"/>
      <c r="H24" s="85">
        <f>G24-B24</f>
        <v>0</v>
      </c>
      <c r="I24" s="93"/>
      <c r="J24" s="85">
        <f t="shared" si="7"/>
        <v>0</v>
      </c>
      <c r="K24" s="93" t="str">
        <f t="shared" si="8"/>
        <v/>
      </c>
    </row>
    <row r="25" spans="1:11" s="75" customFormat="1">
      <c r="A25" s="203" t="s">
        <v>460</v>
      </c>
      <c r="B25" s="85">
        <v>19000000</v>
      </c>
      <c r="D25" s="10"/>
      <c r="E25" s="10"/>
      <c r="F25" s="85">
        <f t="shared" si="6"/>
        <v>19000000</v>
      </c>
      <c r="G25" s="85">
        <v>19000000</v>
      </c>
      <c r="H25" s="85">
        <f t="shared" si="2"/>
        <v>0</v>
      </c>
      <c r="I25" s="93">
        <f t="shared" si="3"/>
        <v>0</v>
      </c>
      <c r="J25" s="85">
        <f t="shared" ref="J25" si="9">G25-F25</f>
        <v>0</v>
      </c>
      <c r="K25" s="93">
        <f t="shared" ref="K25" si="10">IF(G25=0,"",J25/F25)</f>
        <v>0</v>
      </c>
    </row>
    <row r="26" spans="1:11" s="75" customFormat="1">
      <c r="A26" s="203"/>
      <c r="B26" s="85"/>
      <c r="D26" s="10"/>
      <c r="E26" s="10"/>
      <c r="F26" s="85">
        <f t="shared" si="6"/>
        <v>0</v>
      </c>
      <c r="G26" s="85"/>
      <c r="H26" s="85">
        <f t="shared" si="2"/>
        <v>0</v>
      </c>
      <c r="I26" s="93"/>
      <c r="J26" s="85">
        <f t="shared" si="4"/>
        <v>0</v>
      </c>
      <c r="K26" s="93"/>
    </row>
    <row r="27" spans="1:11">
      <c r="A27" s="205" t="s">
        <v>2</v>
      </c>
      <c r="B27" s="199">
        <f>SUM(B28:B32)</f>
        <v>11842853</v>
      </c>
      <c r="C27" s="18"/>
      <c r="D27" s="15">
        <f>SUM(D28:D35)</f>
        <v>1918961</v>
      </c>
      <c r="E27" s="199">
        <f>SUM(E28:E36)</f>
        <v>-931452</v>
      </c>
      <c r="F27" s="199">
        <f t="shared" si="6"/>
        <v>12830362</v>
      </c>
      <c r="G27" s="199">
        <f t="shared" ref="G27" si="11">SUM(G28:G32)</f>
        <v>6607536</v>
      </c>
      <c r="H27" s="199">
        <f t="shared" si="2"/>
        <v>-5235317</v>
      </c>
      <c r="I27" s="239">
        <f t="shared" si="3"/>
        <v>-0.44206552255609355</v>
      </c>
      <c r="J27" s="199">
        <f t="shared" si="4"/>
        <v>-6222826</v>
      </c>
      <c r="K27" s="239">
        <f t="shared" si="5"/>
        <v>-0.48500782752661226</v>
      </c>
    </row>
    <row r="28" spans="1:11">
      <c r="A28" s="200" t="s">
        <v>68</v>
      </c>
      <c r="B28" s="85">
        <v>3550898</v>
      </c>
      <c r="C28" s="75"/>
      <c r="D28" s="201">
        <v>-58136</v>
      </c>
      <c r="E28" s="85"/>
      <c r="F28" s="85">
        <f t="shared" si="6"/>
        <v>3492762</v>
      </c>
      <c r="G28" s="85">
        <v>3550898</v>
      </c>
      <c r="H28" s="85">
        <f t="shared" si="2"/>
        <v>0</v>
      </c>
      <c r="I28" s="93">
        <f t="shared" si="3"/>
        <v>0</v>
      </c>
      <c r="J28" s="85">
        <f t="shared" si="4"/>
        <v>58136</v>
      </c>
      <c r="K28" s="93">
        <f t="shared" si="5"/>
        <v>1.664470696829615E-2</v>
      </c>
    </row>
    <row r="29" spans="1:11">
      <c r="A29" s="203" t="s">
        <v>210</v>
      </c>
      <c r="B29" s="85">
        <f>439321-63960</f>
        <v>375361</v>
      </c>
      <c r="C29" s="75"/>
      <c r="D29" s="201">
        <v>-663</v>
      </c>
      <c r="E29" s="201"/>
      <c r="F29" s="85">
        <f t="shared" si="6"/>
        <v>374698</v>
      </c>
      <c r="G29" s="85">
        <v>374698</v>
      </c>
      <c r="H29" s="85">
        <f t="shared" si="2"/>
        <v>-663</v>
      </c>
      <c r="I29" s="93">
        <f t="shared" si="3"/>
        <v>-1.7662996422110981E-3</v>
      </c>
      <c r="J29" s="85">
        <f t="shared" si="4"/>
        <v>0</v>
      </c>
      <c r="K29" s="93">
        <f t="shared" si="5"/>
        <v>0</v>
      </c>
    </row>
    <row r="30" spans="1:11">
      <c r="A30" s="203" t="s">
        <v>372</v>
      </c>
      <c r="B30" s="85">
        <v>6032060</v>
      </c>
      <c r="C30" s="75"/>
      <c r="D30" s="201"/>
      <c r="E30" s="201">
        <v>-1000000</v>
      </c>
      <c r="F30" s="85">
        <f t="shared" si="6"/>
        <v>5032060</v>
      </c>
      <c r="G30" s="85">
        <f>2766904-84964</f>
        <v>2681940</v>
      </c>
      <c r="H30" s="85">
        <f t="shared" si="2"/>
        <v>-3350120</v>
      </c>
      <c r="I30" s="93">
        <f t="shared" si="3"/>
        <v>-0.55538572229056082</v>
      </c>
      <c r="J30" s="85">
        <f t="shared" si="4"/>
        <v>-2350120</v>
      </c>
      <c r="K30" s="93">
        <f t="shared" si="5"/>
        <v>-0.46702940743949795</v>
      </c>
    </row>
    <row r="31" spans="1:11">
      <c r="A31" s="84" t="s">
        <v>603</v>
      </c>
      <c r="B31" s="202">
        <v>1050000</v>
      </c>
      <c r="C31" s="206"/>
      <c r="D31" s="201"/>
      <c r="E31" s="201"/>
      <c r="F31" s="202">
        <f t="shared" si="6"/>
        <v>1050000</v>
      </c>
      <c r="G31" s="10"/>
      <c r="H31" s="202">
        <f t="shared" si="2"/>
        <v>-1050000</v>
      </c>
      <c r="I31" s="240">
        <f t="shared" si="3"/>
        <v>-1</v>
      </c>
      <c r="J31" s="202">
        <f t="shared" si="4"/>
        <v>-1050000</v>
      </c>
      <c r="K31" s="240" t="str">
        <f t="shared" si="5"/>
        <v/>
      </c>
    </row>
    <row r="32" spans="1:11">
      <c r="A32" s="84" t="s">
        <v>800</v>
      </c>
      <c r="B32" s="202">
        <v>834534</v>
      </c>
      <c r="C32" s="75"/>
      <c r="D32" s="201"/>
      <c r="E32" s="201"/>
      <c r="F32" s="202">
        <f t="shared" si="6"/>
        <v>834534</v>
      </c>
      <c r="G32" s="10"/>
      <c r="H32" s="202">
        <f t="shared" si="2"/>
        <v>-834534</v>
      </c>
      <c r="I32" s="240">
        <f t="shared" si="3"/>
        <v>-1</v>
      </c>
      <c r="J32" s="202">
        <f t="shared" si="4"/>
        <v>-834534</v>
      </c>
      <c r="K32" s="240" t="str">
        <f t="shared" si="5"/>
        <v/>
      </c>
    </row>
    <row r="33" spans="1:11">
      <c r="A33" s="84" t="s">
        <v>801</v>
      </c>
      <c r="B33" s="202"/>
      <c r="C33" s="75"/>
      <c r="D33" s="201">
        <v>800000</v>
      </c>
      <c r="E33" s="201"/>
      <c r="F33" s="202">
        <f t="shared" si="6"/>
        <v>800000</v>
      </c>
      <c r="G33" s="10"/>
      <c r="H33" s="202">
        <f t="shared" si="2"/>
        <v>0</v>
      </c>
      <c r="I33" s="240"/>
      <c r="J33" s="202">
        <f t="shared" si="4"/>
        <v>-800000</v>
      </c>
      <c r="K33" s="240" t="str">
        <f t="shared" si="5"/>
        <v/>
      </c>
    </row>
    <row r="34" spans="1:11" ht="22.8">
      <c r="A34" s="84" t="s">
        <v>437</v>
      </c>
      <c r="B34" s="202"/>
      <c r="C34" s="75"/>
      <c r="D34" s="204">
        <f>133384+113376</f>
        <v>246760</v>
      </c>
      <c r="E34" s="204"/>
      <c r="F34" s="202">
        <f t="shared" si="6"/>
        <v>246760</v>
      </c>
      <c r="G34" s="10"/>
      <c r="H34" s="202">
        <f t="shared" si="2"/>
        <v>0</v>
      </c>
      <c r="I34" s="240"/>
      <c r="J34" s="202">
        <f t="shared" si="4"/>
        <v>-246760</v>
      </c>
      <c r="K34" s="240" t="str">
        <f t="shared" si="5"/>
        <v/>
      </c>
    </row>
    <row r="35" spans="1:11">
      <c r="A35" s="84" t="s">
        <v>802</v>
      </c>
      <c r="B35" s="202"/>
      <c r="C35" s="75"/>
      <c r="D35" s="85">
        <v>931000</v>
      </c>
      <c r="E35" s="85"/>
      <c r="F35" s="202">
        <f t="shared" si="6"/>
        <v>931000</v>
      </c>
      <c r="G35" s="10"/>
      <c r="H35" s="202">
        <f t="shared" si="2"/>
        <v>0</v>
      </c>
      <c r="I35" s="240"/>
      <c r="J35" s="202">
        <f t="shared" si="4"/>
        <v>-931000</v>
      </c>
      <c r="K35" s="240" t="str">
        <f t="shared" si="5"/>
        <v/>
      </c>
    </row>
    <row r="36" spans="1:11" ht="22.8">
      <c r="A36" s="84" t="s">
        <v>1176</v>
      </c>
      <c r="B36" s="202"/>
      <c r="C36" s="75"/>
      <c r="D36" s="85"/>
      <c r="E36" s="566">
        <v>68548</v>
      </c>
      <c r="F36" s="202"/>
      <c r="G36" s="10"/>
      <c r="H36" s="202">
        <f t="shared" si="2"/>
        <v>0</v>
      </c>
      <c r="I36" s="240"/>
      <c r="J36" s="202"/>
      <c r="K36" s="240"/>
    </row>
    <row r="37" spans="1:11">
      <c r="A37" s="205" t="s">
        <v>803</v>
      </c>
      <c r="B37" s="202"/>
      <c r="C37" s="75"/>
      <c r="D37" s="85">
        <f>D38</f>
        <v>436299</v>
      </c>
      <c r="E37" s="85">
        <f>E38</f>
        <v>557134</v>
      </c>
      <c r="F37" s="202">
        <f t="shared" si="6"/>
        <v>993433</v>
      </c>
      <c r="G37" s="10"/>
      <c r="H37" s="202">
        <f t="shared" si="2"/>
        <v>0</v>
      </c>
      <c r="I37" s="240"/>
      <c r="J37" s="202">
        <f t="shared" si="4"/>
        <v>-993433</v>
      </c>
      <c r="K37" s="240" t="str">
        <f t="shared" si="5"/>
        <v/>
      </c>
    </row>
    <row r="38" spans="1:11" ht="22.8">
      <c r="A38" s="84" t="s">
        <v>804</v>
      </c>
      <c r="B38" s="202"/>
      <c r="C38" s="75"/>
      <c r="D38" s="201">
        <v>436299</v>
      </c>
      <c r="E38" s="201">
        <v>557134</v>
      </c>
      <c r="F38" s="202">
        <f t="shared" si="6"/>
        <v>993433</v>
      </c>
      <c r="G38" s="10"/>
      <c r="H38" s="202">
        <f t="shared" si="2"/>
        <v>0</v>
      </c>
      <c r="I38" s="240"/>
      <c r="J38" s="202">
        <f t="shared" si="4"/>
        <v>-993433</v>
      </c>
      <c r="K38" s="240" t="str">
        <f t="shared" si="5"/>
        <v/>
      </c>
    </row>
    <row r="39" spans="1:11">
      <c r="A39" s="205"/>
      <c r="B39" s="199"/>
      <c r="C39" s="75"/>
      <c r="D39" s="10"/>
      <c r="E39" s="10"/>
      <c r="F39" s="199">
        <f t="shared" si="6"/>
        <v>0</v>
      </c>
      <c r="G39" s="10"/>
      <c r="H39" s="199">
        <f t="shared" si="2"/>
        <v>0</v>
      </c>
      <c r="I39" s="239"/>
      <c r="J39" s="199">
        <f t="shared" si="4"/>
        <v>0</v>
      </c>
      <c r="K39" s="239" t="str">
        <f t="shared" si="5"/>
        <v/>
      </c>
    </row>
    <row r="40" spans="1:11">
      <c r="A40" s="196" t="s">
        <v>805</v>
      </c>
      <c r="B40" s="197">
        <f>B41</f>
        <v>9223</v>
      </c>
      <c r="C40" s="75"/>
      <c r="D40" s="10"/>
      <c r="E40" s="10"/>
      <c r="F40" s="197">
        <f t="shared" si="6"/>
        <v>9223</v>
      </c>
      <c r="G40" s="197">
        <f>G41</f>
        <v>0</v>
      </c>
      <c r="H40" s="197">
        <f t="shared" si="2"/>
        <v>-9223</v>
      </c>
      <c r="I40" s="238">
        <f t="shared" si="3"/>
        <v>-1</v>
      </c>
      <c r="J40" s="197">
        <f t="shared" si="4"/>
        <v>-9223</v>
      </c>
      <c r="K40" s="238" t="str">
        <f t="shared" si="5"/>
        <v/>
      </c>
    </row>
    <row r="41" spans="1:11">
      <c r="A41" s="205" t="s">
        <v>461</v>
      </c>
      <c r="B41" s="199">
        <f>+B46+B43</f>
        <v>9223</v>
      </c>
      <c r="C41" s="75"/>
      <c r="D41" s="10"/>
      <c r="E41" s="10"/>
      <c r="F41" s="199">
        <f t="shared" si="6"/>
        <v>9223</v>
      </c>
      <c r="G41" s="199">
        <f>+G46+G43</f>
        <v>0</v>
      </c>
      <c r="H41" s="199">
        <f t="shared" si="2"/>
        <v>-9223</v>
      </c>
      <c r="I41" s="239">
        <f t="shared" si="3"/>
        <v>-1</v>
      </c>
      <c r="J41" s="199">
        <f t="shared" si="4"/>
        <v>-9223</v>
      </c>
      <c r="K41" s="239" t="str">
        <f t="shared" si="5"/>
        <v/>
      </c>
    </row>
    <row r="42" spans="1:11">
      <c r="A42" s="198"/>
      <c r="B42" s="199"/>
      <c r="C42" s="75"/>
      <c r="D42" s="10"/>
      <c r="E42" s="10"/>
      <c r="F42" s="199">
        <f t="shared" si="6"/>
        <v>0</v>
      </c>
      <c r="G42" s="10"/>
      <c r="H42" s="199">
        <f t="shared" si="2"/>
        <v>0</v>
      </c>
      <c r="I42" s="239"/>
      <c r="J42" s="199">
        <f t="shared" si="4"/>
        <v>0</v>
      </c>
      <c r="K42" s="239" t="str">
        <f t="shared" si="5"/>
        <v/>
      </c>
    </row>
    <row r="43" spans="1:11">
      <c r="A43" s="207" t="s">
        <v>404</v>
      </c>
      <c r="B43" s="209">
        <f>SUM(B44)</f>
        <v>4393</v>
      </c>
      <c r="C43" s="75"/>
      <c r="D43" s="10"/>
      <c r="E43" s="10"/>
      <c r="F43" s="209">
        <f t="shared" si="6"/>
        <v>4393</v>
      </c>
      <c r="G43" s="209">
        <f>G44</f>
        <v>0</v>
      </c>
      <c r="H43" s="209">
        <f t="shared" si="2"/>
        <v>-4393</v>
      </c>
      <c r="I43" s="241">
        <f t="shared" si="3"/>
        <v>-1</v>
      </c>
      <c r="J43" s="209">
        <f t="shared" si="4"/>
        <v>-4393</v>
      </c>
      <c r="K43" s="241" t="str">
        <f t="shared" si="5"/>
        <v/>
      </c>
    </row>
    <row r="44" spans="1:11" ht="22.8">
      <c r="A44" s="208" t="s">
        <v>361</v>
      </c>
      <c r="B44" s="202">
        <v>4393</v>
      </c>
      <c r="C44" s="75"/>
      <c r="D44" s="10"/>
      <c r="E44" s="10"/>
      <c r="F44" s="202">
        <f t="shared" si="6"/>
        <v>4393</v>
      </c>
      <c r="G44" s="202"/>
      <c r="H44" s="202">
        <f t="shared" si="2"/>
        <v>-4393</v>
      </c>
      <c r="I44" s="240">
        <f t="shared" si="3"/>
        <v>-1</v>
      </c>
      <c r="J44" s="202">
        <f t="shared" si="4"/>
        <v>-4393</v>
      </c>
      <c r="K44" s="240" t="str">
        <f t="shared" si="5"/>
        <v/>
      </c>
    </row>
    <row r="45" spans="1:11">
      <c r="A45" s="198"/>
      <c r="B45" s="199"/>
      <c r="C45" s="75"/>
      <c r="D45" s="10"/>
      <c r="E45" s="10"/>
      <c r="F45" s="199">
        <f t="shared" si="6"/>
        <v>0</v>
      </c>
      <c r="G45" s="199"/>
      <c r="H45" s="199">
        <f t="shared" si="2"/>
        <v>0</v>
      </c>
      <c r="I45" s="239"/>
      <c r="J45" s="199">
        <f t="shared" si="4"/>
        <v>0</v>
      </c>
      <c r="K45" s="239" t="str">
        <f t="shared" si="5"/>
        <v/>
      </c>
    </row>
    <row r="46" spans="1:11">
      <c r="A46" s="207" t="s">
        <v>405</v>
      </c>
      <c r="B46" s="209">
        <f>B47</f>
        <v>4830</v>
      </c>
      <c r="C46" s="75"/>
      <c r="D46" s="10"/>
      <c r="E46" s="10"/>
      <c r="F46" s="209">
        <f t="shared" si="6"/>
        <v>4830</v>
      </c>
      <c r="G46" s="209"/>
      <c r="H46" s="209">
        <f t="shared" si="2"/>
        <v>-4830</v>
      </c>
      <c r="I46" s="241">
        <f t="shared" si="3"/>
        <v>-1</v>
      </c>
      <c r="J46" s="209">
        <f t="shared" si="4"/>
        <v>-4830</v>
      </c>
      <c r="K46" s="241" t="str">
        <f t="shared" si="5"/>
        <v/>
      </c>
    </row>
    <row r="47" spans="1:11" ht="23.4">
      <c r="A47" s="210" t="s">
        <v>653</v>
      </c>
      <c r="B47" s="211">
        <v>4830</v>
      </c>
      <c r="C47" s="75"/>
      <c r="D47" s="10"/>
      <c r="E47" s="10"/>
      <c r="F47" s="211">
        <f t="shared" si="6"/>
        <v>4830</v>
      </c>
      <c r="G47" s="211"/>
      <c r="H47" s="211">
        <f t="shared" si="2"/>
        <v>-4830</v>
      </c>
      <c r="I47" s="242">
        <f t="shared" si="3"/>
        <v>-1</v>
      </c>
      <c r="J47" s="211">
        <f t="shared" si="4"/>
        <v>-4830</v>
      </c>
      <c r="K47" s="242" t="str">
        <f t="shared" si="5"/>
        <v/>
      </c>
    </row>
    <row r="48" spans="1:11">
      <c r="A48" s="212"/>
      <c r="B48" s="213"/>
      <c r="C48" s="75"/>
      <c r="D48" s="10"/>
      <c r="E48" s="10"/>
      <c r="F48" s="202">
        <f t="shared" si="6"/>
        <v>0</v>
      </c>
      <c r="G48" s="10"/>
      <c r="H48" s="213">
        <f t="shared" si="2"/>
        <v>0</v>
      </c>
      <c r="I48" s="243"/>
      <c r="J48" s="213">
        <f t="shared" si="4"/>
        <v>0</v>
      </c>
      <c r="K48" s="243" t="str">
        <f t="shared" si="5"/>
        <v/>
      </c>
    </row>
    <row r="49" spans="1:11">
      <c r="A49" s="196" t="s">
        <v>3</v>
      </c>
      <c r="B49" s="197">
        <f>B50+B100</f>
        <v>23913124</v>
      </c>
      <c r="C49" s="197">
        <f>C50+C100</f>
        <v>0</v>
      </c>
      <c r="D49" s="197">
        <f>D50+D100</f>
        <v>-360558</v>
      </c>
      <c r="E49" s="197">
        <f>E50+E100</f>
        <v>39744</v>
      </c>
      <c r="F49" s="197">
        <f t="shared" si="6"/>
        <v>23592310</v>
      </c>
      <c r="G49" s="197">
        <f>G50+G100</f>
        <v>22080571</v>
      </c>
      <c r="H49" s="197">
        <f t="shared" si="2"/>
        <v>-1832553</v>
      </c>
      <c r="I49" s="238">
        <f t="shared" si="3"/>
        <v>-7.6633776498628958E-2</v>
      </c>
      <c r="J49" s="197">
        <f>G49-F49</f>
        <v>-1511739</v>
      </c>
      <c r="K49" s="238">
        <f t="shared" ref="K49:K67" si="12">IF(G49=0,"",J49/F49)</f>
        <v>-6.4077616816666114E-2</v>
      </c>
    </row>
    <row r="50" spans="1:11">
      <c r="A50" s="135" t="s">
        <v>5</v>
      </c>
      <c r="B50" s="214">
        <f>+B52+B75+B83+B93+B97+B71</f>
        <v>4287923</v>
      </c>
      <c r="C50" s="214">
        <f>+C52+C75+C83+C93+C97+C71</f>
        <v>0</v>
      </c>
      <c r="D50" s="214">
        <f>+D52+D75+D83+D93+D97+D71</f>
        <v>956919</v>
      </c>
      <c r="E50" s="214">
        <f>+E52+E75+E83+E93+E97+E71+E80</f>
        <v>724201</v>
      </c>
      <c r="F50" s="214">
        <f t="shared" si="6"/>
        <v>5969043</v>
      </c>
      <c r="G50" s="214">
        <f>+G52+G75+G83+G93+G97+G71+G80</f>
        <v>2243284</v>
      </c>
      <c r="H50" s="214">
        <f t="shared" si="2"/>
        <v>-2044639</v>
      </c>
      <c r="I50" s="244">
        <f t="shared" si="3"/>
        <v>-0.47683668759910103</v>
      </c>
      <c r="J50" s="214">
        <f t="shared" si="4"/>
        <v>-3725759</v>
      </c>
      <c r="K50" s="244">
        <f t="shared" si="12"/>
        <v>-0.62418029154757304</v>
      </c>
    </row>
    <row r="51" spans="1:11">
      <c r="A51" s="215"/>
      <c r="B51" s="85"/>
      <c r="C51" s="75"/>
      <c r="D51" s="10"/>
      <c r="E51" s="10"/>
      <c r="F51" s="85">
        <f t="shared" si="6"/>
        <v>0</v>
      </c>
      <c r="G51" s="10"/>
      <c r="H51" s="85">
        <f t="shared" si="2"/>
        <v>0</v>
      </c>
      <c r="I51" s="93"/>
      <c r="J51" s="85">
        <f t="shared" si="4"/>
        <v>0</v>
      </c>
      <c r="K51" s="93" t="str">
        <f t="shared" si="12"/>
        <v/>
      </c>
    </row>
    <row r="52" spans="1:11">
      <c r="A52" s="207" t="s">
        <v>597</v>
      </c>
      <c r="B52" s="209">
        <f>SUM(B53:B67)</f>
        <v>1559256</v>
      </c>
      <c r="C52" s="75"/>
      <c r="D52" s="209">
        <f>SUM(D53:D67)</f>
        <v>488804</v>
      </c>
      <c r="E52" s="209">
        <f>SUM(E53:E67)</f>
        <v>122910</v>
      </c>
      <c r="F52" s="209">
        <f t="shared" si="6"/>
        <v>2170970</v>
      </c>
      <c r="G52" s="219">
        <f>SUM(G53:G70)</f>
        <v>1327461</v>
      </c>
      <c r="H52" s="209">
        <f t="shared" si="2"/>
        <v>-231795</v>
      </c>
      <c r="I52" s="241">
        <f t="shared" si="3"/>
        <v>-0.14865743662362049</v>
      </c>
      <c r="J52" s="209">
        <f t="shared" si="4"/>
        <v>-843509</v>
      </c>
      <c r="K52" s="241">
        <f t="shared" si="12"/>
        <v>-0.38854014564917988</v>
      </c>
    </row>
    <row r="53" spans="1:11">
      <c r="A53" s="216" t="s">
        <v>462</v>
      </c>
      <c r="B53" s="217">
        <v>278735</v>
      </c>
      <c r="C53" s="75"/>
      <c r="D53" s="201">
        <v>14553</v>
      </c>
      <c r="E53" s="201"/>
      <c r="F53" s="217">
        <f t="shared" si="6"/>
        <v>293288</v>
      </c>
      <c r="G53" s="201"/>
      <c r="H53" s="217">
        <f t="shared" si="2"/>
        <v>-278735</v>
      </c>
      <c r="I53" s="245">
        <f t="shared" si="3"/>
        <v>-1</v>
      </c>
      <c r="J53" s="217">
        <f t="shared" si="4"/>
        <v>-293288</v>
      </c>
      <c r="K53" s="245" t="str">
        <f t="shared" si="12"/>
        <v/>
      </c>
    </row>
    <row r="54" spans="1:11" ht="22.8">
      <c r="A54" s="218" t="s">
        <v>463</v>
      </c>
      <c r="B54" s="219">
        <v>15700</v>
      </c>
      <c r="C54" s="75"/>
      <c r="D54" s="10"/>
      <c r="E54" s="201"/>
      <c r="F54" s="219">
        <f t="shared" si="6"/>
        <v>15700</v>
      </c>
      <c r="G54" s="201">
        <v>15750</v>
      </c>
      <c r="H54" s="219">
        <f t="shared" si="2"/>
        <v>50</v>
      </c>
      <c r="I54" s="246">
        <f t="shared" si="3"/>
        <v>3.1847133757961785E-3</v>
      </c>
      <c r="J54" s="219">
        <f t="shared" si="4"/>
        <v>50</v>
      </c>
      <c r="K54" s="246">
        <f t="shared" si="12"/>
        <v>3.1847133757961785E-3</v>
      </c>
    </row>
    <row r="55" spans="1:11">
      <c r="A55" s="220" t="s">
        <v>464</v>
      </c>
      <c r="B55" s="221">
        <v>112312</v>
      </c>
      <c r="C55" s="75"/>
      <c r="D55" s="201">
        <v>15516</v>
      </c>
      <c r="E55" s="201"/>
      <c r="F55" s="221">
        <f t="shared" si="6"/>
        <v>127828</v>
      </c>
      <c r="G55" s="201">
        <v>83562</v>
      </c>
      <c r="H55" s="221">
        <f t="shared" si="2"/>
        <v>-28750</v>
      </c>
      <c r="I55" s="247">
        <f t="shared" si="3"/>
        <v>-0.25598333214616426</v>
      </c>
      <c r="J55" s="221">
        <f t="shared" si="4"/>
        <v>-44266</v>
      </c>
      <c r="K55" s="247">
        <f t="shared" si="12"/>
        <v>-0.34629345683261881</v>
      </c>
    </row>
    <row r="56" spans="1:11">
      <c r="A56" s="220" t="s">
        <v>465</v>
      </c>
      <c r="B56" s="221">
        <v>6806</v>
      </c>
      <c r="C56" s="75"/>
      <c r="D56" s="10"/>
      <c r="E56" s="201"/>
      <c r="F56" s="221">
        <f t="shared" si="6"/>
        <v>6806</v>
      </c>
      <c r="G56" s="201"/>
      <c r="H56" s="221">
        <f t="shared" si="2"/>
        <v>-6806</v>
      </c>
      <c r="I56" s="247">
        <f t="shared" si="3"/>
        <v>-1</v>
      </c>
      <c r="J56" s="221">
        <f t="shared" si="4"/>
        <v>-6806</v>
      </c>
      <c r="K56" s="247" t="str">
        <f t="shared" si="12"/>
        <v/>
      </c>
    </row>
    <row r="57" spans="1:11">
      <c r="A57" s="215" t="s">
        <v>466</v>
      </c>
      <c r="B57" s="85">
        <v>25000</v>
      </c>
      <c r="C57" s="75"/>
      <c r="D57" s="201">
        <v>328</v>
      </c>
      <c r="E57" s="201"/>
      <c r="F57" s="85">
        <f t="shared" si="6"/>
        <v>25328</v>
      </c>
      <c r="G57" s="201">
        <v>10876</v>
      </c>
      <c r="H57" s="85">
        <f t="shared" si="2"/>
        <v>-14124</v>
      </c>
      <c r="I57" s="93">
        <f t="shared" si="3"/>
        <v>-0.56496000000000002</v>
      </c>
      <c r="J57" s="85">
        <f t="shared" si="4"/>
        <v>-14452</v>
      </c>
      <c r="K57" s="93">
        <f t="shared" si="12"/>
        <v>-0.5705938092229943</v>
      </c>
    </row>
    <row r="58" spans="1:11">
      <c r="A58" s="208" t="s">
        <v>471</v>
      </c>
      <c r="B58" s="202">
        <v>177418</v>
      </c>
      <c r="C58" s="75"/>
      <c r="D58" s="10"/>
      <c r="E58" s="201"/>
      <c r="F58" s="202">
        <f t="shared" si="6"/>
        <v>177418</v>
      </c>
      <c r="G58" s="201"/>
      <c r="H58" s="202">
        <f t="shared" si="2"/>
        <v>-177418</v>
      </c>
      <c r="I58" s="240">
        <f t="shared" si="3"/>
        <v>-1</v>
      </c>
      <c r="J58" s="202">
        <f t="shared" si="4"/>
        <v>-177418</v>
      </c>
      <c r="K58" s="240" t="str">
        <f t="shared" si="12"/>
        <v/>
      </c>
    </row>
    <row r="59" spans="1:11" ht="22.8">
      <c r="A59" s="208" t="s">
        <v>728</v>
      </c>
      <c r="B59" s="202">
        <v>658372</v>
      </c>
      <c r="C59" s="75"/>
      <c r="D59" s="10"/>
      <c r="E59" s="201"/>
      <c r="F59" s="202">
        <f t="shared" si="6"/>
        <v>658372</v>
      </c>
      <c r="G59" s="201">
        <f>450279+1685</f>
        <v>451964</v>
      </c>
      <c r="H59" s="202">
        <f t="shared" si="2"/>
        <v>-206408</v>
      </c>
      <c r="I59" s="240">
        <f t="shared" si="3"/>
        <v>-0.31351272532853769</v>
      </c>
      <c r="J59" s="202">
        <f t="shared" si="4"/>
        <v>-206408</v>
      </c>
      <c r="K59" s="240">
        <f t="shared" si="12"/>
        <v>-0.31351272532853769</v>
      </c>
    </row>
    <row r="60" spans="1:11" ht="22.8">
      <c r="A60" s="208" t="s">
        <v>729</v>
      </c>
      <c r="B60" s="202">
        <v>142500</v>
      </c>
      <c r="C60" s="75"/>
      <c r="D60" s="10"/>
      <c r="E60" s="201"/>
      <c r="F60" s="202">
        <f t="shared" si="6"/>
        <v>142500</v>
      </c>
      <c r="G60" s="201">
        <v>98000</v>
      </c>
      <c r="H60" s="202">
        <f t="shared" si="2"/>
        <v>-44500</v>
      </c>
      <c r="I60" s="240">
        <f t="shared" si="3"/>
        <v>-0.31228070175438599</v>
      </c>
      <c r="J60" s="202">
        <f t="shared" si="4"/>
        <v>-44500</v>
      </c>
      <c r="K60" s="240">
        <f t="shared" si="12"/>
        <v>-0.31228070175438599</v>
      </c>
    </row>
    <row r="61" spans="1:11">
      <c r="A61" s="208" t="s">
        <v>730</v>
      </c>
      <c r="B61" s="202">
        <v>67600</v>
      </c>
      <c r="C61" s="75"/>
      <c r="D61" s="10"/>
      <c r="E61" s="201"/>
      <c r="F61" s="202">
        <f t="shared" si="6"/>
        <v>67600</v>
      </c>
      <c r="G61" s="201">
        <v>11500</v>
      </c>
      <c r="H61" s="202">
        <f t="shared" si="2"/>
        <v>-56100</v>
      </c>
      <c r="I61" s="240">
        <f t="shared" si="3"/>
        <v>-0.82988165680473369</v>
      </c>
      <c r="J61" s="202">
        <f t="shared" si="4"/>
        <v>-56100</v>
      </c>
      <c r="K61" s="240">
        <f t="shared" si="12"/>
        <v>-0.82988165680473369</v>
      </c>
    </row>
    <row r="62" spans="1:11">
      <c r="A62" s="208" t="s">
        <v>806</v>
      </c>
      <c r="B62" s="202">
        <v>74813</v>
      </c>
      <c r="C62" s="75"/>
      <c r="D62" s="10"/>
      <c r="E62" s="201"/>
      <c r="F62" s="202">
        <f t="shared" si="6"/>
        <v>74813</v>
      </c>
      <c r="G62" s="201"/>
      <c r="H62" s="202">
        <f t="shared" si="2"/>
        <v>-74813</v>
      </c>
      <c r="I62" s="240">
        <f t="shared" si="3"/>
        <v>-1</v>
      </c>
      <c r="J62" s="202">
        <f t="shared" si="4"/>
        <v>-74813</v>
      </c>
      <c r="K62" s="240" t="str">
        <f t="shared" si="12"/>
        <v/>
      </c>
    </row>
    <row r="63" spans="1:11">
      <c r="A63" s="215" t="s">
        <v>807</v>
      </c>
      <c r="B63" s="202"/>
      <c r="C63" s="75"/>
      <c r="D63" s="201">
        <v>150994</v>
      </c>
      <c r="E63" s="201"/>
      <c r="F63" s="202">
        <f t="shared" si="6"/>
        <v>150994</v>
      </c>
      <c r="G63" s="201"/>
      <c r="H63" s="202">
        <f t="shared" si="2"/>
        <v>0</v>
      </c>
      <c r="I63" s="240"/>
      <c r="J63" s="202">
        <f t="shared" si="4"/>
        <v>-150994</v>
      </c>
      <c r="K63" s="240" t="str">
        <f t="shared" si="12"/>
        <v/>
      </c>
    </row>
    <row r="64" spans="1:11">
      <c r="A64" s="215" t="s">
        <v>808</v>
      </c>
      <c r="B64" s="202"/>
      <c r="C64" s="75"/>
      <c r="D64" s="201">
        <v>300000</v>
      </c>
      <c r="E64" s="201"/>
      <c r="F64" s="202">
        <f t="shared" si="6"/>
        <v>300000</v>
      </c>
      <c r="G64" s="201">
        <v>300000</v>
      </c>
      <c r="H64" s="202">
        <f t="shared" si="2"/>
        <v>300000</v>
      </c>
      <c r="I64" s="240"/>
      <c r="J64" s="202">
        <f t="shared" si="4"/>
        <v>0</v>
      </c>
      <c r="K64" s="240">
        <f t="shared" si="12"/>
        <v>0</v>
      </c>
    </row>
    <row r="65" spans="1:11">
      <c r="A65" s="215" t="s">
        <v>809</v>
      </c>
      <c r="B65" s="202"/>
      <c r="C65" s="75"/>
      <c r="D65" s="201">
        <v>7413</v>
      </c>
      <c r="E65" s="201"/>
      <c r="F65" s="202">
        <f t="shared" si="6"/>
        <v>7413</v>
      </c>
      <c r="G65" s="201">
        <v>13225</v>
      </c>
      <c r="H65" s="202">
        <f t="shared" si="2"/>
        <v>13225</v>
      </c>
      <c r="I65" s="240"/>
      <c r="J65" s="202">
        <f t="shared" si="4"/>
        <v>5812</v>
      </c>
      <c r="K65" s="240">
        <f t="shared" si="12"/>
        <v>0.78402805881559423</v>
      </c>
    </row>
    <row r="66" spans="1:11" ht="22.8">
      <c r="A66" s="208" t="s">
        <v>821</v>
      </c>
      <c r="B66" s="202"/>
      <c r="C66" s="75"/>
      <c r="D66" s="10"/>
      <c r="E66" s="201">
        <v>16000</v>
      </c>
      <c r="F66" s="202">
        <f t="shared" si="6"/>
        <v>16000</v>
      </c>
      <c r="G66" s="201">
        <v>60000</v>
      </c>
      <c r="H66" s="202">
        <f t="shared" si="2"/>
        <v>60000</v>
      </c>
      <c r="I66" s="240"/>
      <c r="J66" s="202">
        <f t="shared" si="4"/>
        <v>44000</v>
      </c>
      <c r="K66" s="240">
        <f t="shared" si="12"/>
        <v>2.75</v>
      </c>
    </row>
    <row r="67" spans="1:11" ht="22.8">
      <c r="A67" s="208" t="s">
        <v>1051</v>
      </c>
      <c r="B67" s="209"/>
      <c r="C67" s="75"/>
      <c r="D67" s="10"/>
      <c r="E67" s="201">
        <v>106910</v>
      </c>
      <c r="F67" s="202">
        <f t="shared" si="6"/>
        <v>106910</v>
      </c>
      <c r="G67" s="201">
        <v>173584</v>
      </c>
      <c r="H67" s="209">
        <f t="shared" si="2"/>
        <v>173584</v>
      </c>
      <c r="I67" s="241"/>
      <c r="J67" s="209">
        <f t="shared" si="4"/>
        <v>66674</v>
      </c>
      <c r="K67" s="241">
        <f t="shared" si="12"/>
        <v>0.62364605743148438</v>
      </c>
    </row>
    <row r="68" spans="1:11" ht="22.8">
      <c r="A68" s="208" t="s">
        <v>1052</v>
      </c>
      <c r="B68" s="209"/>
      <c r="C68" s="75"/>
      <c r="D68" s="10"/>
      <c r="E68" s="201"/>
      <c r="F68" s="202">
        <f t="shared" si="6"/>
        <v>0</v>
      </c>
      <c r="G68" s="201">
        <v>14000</v>
      </c>
      <c r="H68" s="209">
        <f t="shared" si="2"/>
        <v>14000</v>
      </c>
      <c r="I68" s="241"/>
      <c r="J68" s="209">
        <f t="shared" si="4"/>
        <v>14000</v>
      </c>
      <c r="K68" s="241"/>
    </row>
    <row r="69" spans="1:11" ht="22.8">
      <c r="A69" s="208" t="s">
        <v>1053</v>
      </c>
      <c r="B69" s="209"/>
      <c r="C69" s="75"/>
      <c r="D69" s="10"/>
      <c r="E69" s="201"/>
      <c r="F69" s="202">
        <f t="shared" si="6"/>
        <v>0</v>
      </c>
      <c r="G69" s="201">
        <v>95000</v>
      </c>
      <c r="H69" s="209">
        <f t="shared" si="2"/>
        <v>95000</v>
      </c>
      <c r="I69" s="241"/>
      <c r="J69" s="209">
        <f t="shared" si="4"/>
        <v>95000</v>
      </c>
      <c r="K69" s="241"/>
    </row>
    <row r="70" spans="1:11">
      <c r="A70" s="222"/>
      <c r="B70" s="209"/>
      <c r="C70" s="75"/>
      <c r="D70" s="10"/>
      <c r="E70" s="10"/>
      <c r="F70" s="209">
        <f t="shared" si="6"/>
        <v>0</v>
      </c>
      <c r="G70" s="10"/>
      <c r="H70" s="209">
        <f t="shared" ref="H70:H131" si="13">G70-B70</f>
        <v>0</v>
      </c>
      <c r="I70" s="241"/>
      <c r="J70" s="209">
        <f t="shared" si="4"/>
        <v>0</v>
      </c>
      <c r="K70" s="241" t="str">
        <f t="shared" si="5"/>
        <v/>
      </c>
    </row>
    <row r="71" spans="1:11">
      <c r="A71" s="207" t="s">
        <v>48</v>
      </c>
      <c r="B71" s="209">
        <f>B72</f>
        <v>58515</v>
      </c>
      <c r="C71" s="75"/>
      <c r="D71" s="209">
        <f>D72+D73</f>
        <v>104546</v>
      </c>
      <c r="E71" s="209"/>
      <c r="F71" s="209">
        <f t="shared" si="6"/>
        <v>163061</v>
      </c>
      <c r="G71" s="209">
        <f t="shared" ref="G71" si="14">G72</f>
        <v>58516</v>
      </c>
      <c r="H71" s="209">
        <f t="shared" si="13"/>
        <v>1</v>
      </c>
      <c r="I71" s="241">
        <f t="shared" ref="I71:I131" si="15">H71/B71</f>
        <v>1.708963513628984E-5</v>
      </c>
      <c r="J71" s="209">
        <f t="shared" si="4"/>
        <v>-104545</v>
      </c>
      <c r="K71" s="241">
        <f t="shared" si="5"/>
        <v>-0.64114043210822946</v>
      </c>
    </row>
    <row r="72" spans="1:11">
      <c r="A72" s="223" t="s">
        <v>810</v>
      </c>
      <c r="B72" s="224">
        <v>58515</v>
      </c>
      <c r="C72" s="75"/>
      <c r="D72" s="10"/>
      <c r="E72" s="10"/>
      <c r="F72" s="224">
        <f t="shared" si="6"/>
        <v>58515</v>
      </c>
      <c r="G72" s="224">
        <v>58516</v>
      </c>
      <c r="H72" s="224">
        <f t="shared" si="13"/>
        <v>1</v>
      </c>
      <c r="I72" s="93">
        <f t="shared" si="15"/>
        <v>1.708963513628984E-5</v>
      </c>
      <c r="J72" s="224">
        <f t="shared" si="4"/>
        <v>1</v>
      </c>
      <c r="K72" s="93">
        <f t="shared" si="5"/>
        <v>1.708963513628984E-5</v>
      </c>
    </row>
    <row r="73" spans="1:11">
      <c r="A73" s="223" t="s">
        <v>403</v>
      </c>
      <c r="B73" s="224"/>
      <c r="C73" s="75"/>
      <c r="D73" s="225">
        <v>104546</v>
      </c>
      <c r="E73" s="225"/>
      <c r="F73" s="224">
        <f t="shared" si="6"/>
        <v>104546</v>
      </c>
      <c r="G73" s="224"/>
      <c r="H73" s="224">
        <f t="shared" si="13"/>
        <v>0</v>
      </c>
      <c r="I73" s="93"/>
      <c r="J73" s="224">
        <f t="shared" si="4"/>
        <v>-104546</v>
      </c>
      <c r="K73" s="93" t="str">
        <f t="shared" si="5"/>
        <v/>
      </c>
    </row>
    <row r="74" spans="1:11">
      <c r="A74" s="215"/>
      <c r="B74" s="85"/>
      <c r="C74" s="75"/>
      <c r="D74" s="10"/>
      <c r="E74" s="10"/>
      <c r="F74" s="85">
        <f t="shared" si="6"/>
        <v>0</v>
      </c>
      <c r="G74" s="10"/>
      <c r="H74" s="85">
        <f t="shared" si="13"/>
        <v>0</v>
      </c>
      <c r="I74" s="93"/>
      <c r="J74" s="85">
        <f t="shared" si="4"/>
        <v>0</v>
      </c>
      <c r="K74" s="93" t="str">
        <f t="shared" si="5"/>
        <v/>
      </c>
    </row>
    <row r="75" spans="1:11">
      <c r="A75" s="207" t="s">
        <v>107</v>
      </c>
      <c r="B75" s="209">
        <f>SUM(B76:B78)</f>
        <v>444200</v>
      </c>
      <c r="C75" s="75"/>
      <c r="D75" s="10"/>
      <c r="E75" s="10"/>
      <c r="F75" s="209">
        <f t="shared" si="6"/>
        <v>444200</v>
      </c>
      <c r="G75" s="209">
        <f>SUM(G76:G78)</f>
        <v>406496</v>
      </c>
      <c r="H75" s="209">
        <f t="shared" si="13"/>
        <v>-37704</v>
      </c>
      <c r="I75" s="241">
        <f t="shared" si="15"/>
        <v>-8.4880684376407028E-2</v>
      </c>
      <c r="J75" s="209">
        <f t="shared" si="4"/>
        <v>-37704</v>
      </c>
      <c r="K75" s="241">
        <f t="shared" si="5"/>
        <v>-8.4880684376407028E-2</v>
      </c>
    </row>
    <row r="76" spans="1:11">
      <c r="A76" s="226" t="s">
        <v>362</v>
      </c>
      <c r="B76" s="227">
        <v>376375</v>
      </c>
      <c r="C76" s="75"/>
      <c r="D76" s="10"/>
      <c r="E76" s="10"/>
      <c r="F76" s="227">
        <f t="shared" si="6"/>
        <v>376375</v>
      </c>
      <c r="G76" s="201">
        <v>372980</v>
      </c>
      <c r="H76" s="227">
        <f t="shared" si="13"/>
        <v>-3395</v>
      </c>
      <c r="I76" s="240">
        <f t="shared" si="15"/>
        <v>-9.0202590501494515E-3</v>
      </c>
      <c r="J76" s="227">
        <f t="shared" si="4"/>
        <v>-3395</v>
      </c>
      <c r="K76" s="240">
        <f t="shared" si="5"/>
        <v>-9.0202590501494515E-3</v>
      </c>
    </row>
    <row r="77" spans="1:11">
      <c r="A77" s="226" t="s">
        <v>467</v>
      </c>
      <c r="B77" s="227">
        <v>1657</v>
      </c>
      <c r="C77" s="75"/>
      <c r="D77" s="10"/>
      <c r="E77" s="10"/>
      <c r="F77" s="227">
        <f t="shared" ref="F77:F134" si="16">SUM(B77:E77)</f>
        <v>1657</v>
      </c>
      <c r="G77" s="201"/>
      <c r="H77" s="227">
        <f t="shared" si="13"/>
        <v>-1657</v>
      </c>
      <c r="I77" s="240">
        <f t="shared" si="15"/>
        <v>-1</v>
      </c>
      <c r="J77" s="227">
        <f t="shared" ref="J77:J130" si="17">G77-F77</f>
        <v>-1657</v>
      </c>
      <c r="K77" s="240" t="str">
        <f t="shared" si="5"/>
        <v/>
      </c>
    </row>
    <row r="78" spans="1:11">
      <c r="A78" s="226" t="s">
        <v>468</v>
      </c>
      <c r="B78" s="227">
        <v>66168</v>
      </c>
      <c r="C78" s="75"/>
      <c r="D78" s="10"/>
      <c r="E78" s="10"/>
      <c r="F78" s="227">
        <f t="shared" si="16"/>
        <v>66168</v>
      </c>
      <c r="G78" s="201">
        <v>33516</v>
      </c>
      <c r="H78" s="227">
        <f t="shared" si="13"/>
        <v>-32652</v>
      </c>
      <c r="I78" s="240">
        <f t="shared" si="15"/>
        <v>-0.49347116430903154</v>
      </c>
      <c r="J78" s="227">
        <f t="shared" si="17"/>
        <v>-32652</v>
      </c>
      <c r="K78" s="240">
        <f t="shared" si="5"/>
        <v>-0.49347116430903154</v>
      </c>
    </row>
    <row r="79" spans="1:11">
      <c r="A79" s="226"/>
      <c r="B79" s="227"/>
      <c r="C79" s="75"/>
      <c r="D79" s="10"/>
      <c r="E79" s="10"/>
      <c r="F79" s="227"/>
      <c r="G79" s="201"/>
      <c r="H79" s="227">
        <f t="shared" si="13"/>
        <v>0</v>
      </c>
      <c r="I79" s="240"/>
      <c r="J79" s="227"/>
      <c r="K79" s="240"/>
    </row>
    <row r="80" spans="1:11">
      <c r="A80" s="207" t="s">
        <v>38</v>
      </c>
      <c r="B80" s="209">
        <f>B81</f>
        <v>0</v>
      </c>
      <c r="C80" s="209">
        <f t="shared" ref="C80:G80" si="18">C81</f>
        <v>0</v>
      </c>
      <c r="D80" s="209">
        <f t="shared" si="18"/>
        <v>0</v>
      </c>
      <c r="E80" s="209">
        <f t="shared" si="18"/>
        <v>0</v>
      </c>
      <c r="F80" s="209">
        <f t="shared" ref="F80:F81" si="19">SUM(B80:E80)</f>
        <v>0</v>
      </c>
      <c r="G80" s="209">
        <f t="shared" si="18"/>
        <v>42000</v>
      </c>
      <c r="H80" s="209">
        <f t="shared" si="13"/>
        <v>42000</v>
      </c>
      <c r="I80" s="241"/>
      <c r="J80" s="209">
        <f t="shared" ref="J80:J81" si="20">G80-F80</f>
        <v>42000</v>
      </c>
      <c r="K80" s="241"/>
    </row>
    <row r="81" spans="1:11" ht="22.8">
      <c r="A81" s="233" t="s">
        <v>1185</v>
      </c>
      <c r="B81" s="85"/>
      <c r="C81" s="206"/>
      <c r="D81" s="201"/>
      <c r="E81" s="201"/>
      <c r="F81" s="85">
        <f t="shared" si="19"/>
        <v>0</v>
      </c>
      <c r="G81" s="227">
        <v>42000</v>
      </c>
      <c r="H81" s="85">
        <f t="shared" si="13"/>
        <v>42000</v>
      </c>
      <c r="I81" s="93"/>
      <c r="J81" s="85">
        <f t="shared" si="20"/>
        <v>42000</v>
      </c>
      <c r="K81" s="93"/>
    </row>
    <row r="82" spans="1:11">
      <c r="A82" s="226"/>
      <c r="B82" s="227"/>
      <c r="C82" s="75"/>
      <c r="D82" s="10"/>
      <c r="E82" s="10"/>
      <c r="F82" s="227">
        <f t="shared" si="16"/>
        <v>0</v>
      </c>
      <c r="G82" s="10"/>
      <c r="H82" s="227">
        <f t="shared" si="13"/>
        <v>0</v>
      </c>
      <c r="I82" s="240"/>
      <c r="J82" s="227">
        <f t="shared" si="17"/>
        <v>0</v>
      </c>
      <c r="K82" s="240" t="str">
        <f t="shared" si="5"/>
        <v/>
      </c>
    </row>
    <row r="83" spans="1:11">
      <c r="A83" s="207" t="s">
        <v>35</v>
      </c>
      <c r="B83" s="209">
        <f>SUM(B84:B90)</f>
        <v>2152276</v>
      </c>
      <c r="C83" s="209">
        <f t="shared" ref="C83:D83" si="21">SUM(C84:C90)</f>
        <v>0</v>
      </c>
      <c r="D83" s="209">
        <f t="shared" si="21"/>
        <v>363569</v>
      </c>
      <c r="E83" s="209">
        <f>SUM(E84:E91)</f>
        <v>601291</v>
      </c>
      <c r="F83" s="209">
        <f t="shared" si="16"/>
        <v>3117136</v>
      </c>
      <c r="G83" s="209">
        <f>SUM(G84:G91)</f>
        <v>392127</v>
      </c>
      <c r="H83" s="209">
        <f t="shared" si="13"/>
        <v>-1760149</v>
      </c>
      <c r="I83" s="241">
        <f t="shared" si="15"/>
        <v>-0.81780821790513858</v>
      </c>
      <c r="J83" s="209">
        <f t="shared" si="17"/>
        <v>-2725009</v>
      </c>
      <c r="K83" s="241">
        <f t="shared" ref="K83:K131" si="22">IF(G83=0,"",J83/F83)</f>
        <v>-0.87420279384665922</v>
      </c>
    </row>
    <row r="84" spans="1:11" ht="22.8">
      <c r="A84" s="208" t="s">
        <v>469</v>
      </c>
      <c r="B84" s="202">
        <v>87208</v>
      </c>
      <c r="C84" s="75"/>
      <c r="D84" s="10"/>
      <c r="E84" s="10"/>
      <c r="F84" s="202">
        <f t="shared" si="16"/>
        <v>87208</v>
      </c>
      <c r="G84" s="201">
        <v>76209</v>
      </c>
      <c r="H84" s="202">
        <f t="shared" si="13"/>
        <v>-10999</v>
      </c>
      <c r="I84" s="240">
        <f t="shared" si="15"/>
        <v>-0.12612375011466839</v>
      </c>
      <c r="J84" s="202">
        <f t="shared" si="17"/>
        <v>-10999</v>
      </c>
      <c r="K84" s="240">
        <f t="shared" si="22"/>
        <v>-0.12612375011466839</v>
      </c>
    </row>
    <row r="85" spans="1:11">
      <c r="A85" s="215" t="s">
        <v>470</v>
      </c>
      <c r="B85" s="85">
        <v>2076</v>
      </c>
      <c r="C85" s="75"/>
      <c r="D85" s="10"/>
      <c r="E85" s="10"/>
      <c r="F85" s="85">
        <f t="shared" si="16"/>
        <v>2076</v>
      </c>
      <c r="G85" s="136"/>
      <c r="H85" s="85">
        <f t="shared" si="13"/>
        <v>-2076</v>
      </c>
      <c r="I85" s="93">
        <f t="shared" si="15"/>
        <v>-1</v>
      </c>
      <c r="J85" s="85">
        <f t="shared" si="17"/>
        <v>-2076</v>
      </c>
      <c r="K85" s="93" t="str">
        <f t="shared" si="22"/>
        <v/>
      </c>
    </row>
    <row r="86" spans="1:11">
      <c r="A86" s="215" t="s">
        <v>583</v>
      </c>
      <c r="B86" s="85">
        <v>2000000</v>
      </c>
      <c r="C86" s="75"/>
      <c r="D86" s="10"/>
      <c r="E86" s="10">
        <v>596291</v>
      </c>
      <c r="F86" s="85">
        <f t="shared" si="16"/>
        <v>2596291</v>
      </c>
      <c r="G86" s="136"/>
      <c r="H86" s="85">
        <f t="shared" si="13"/>
        <v>-2000000</v>
      </c>
      <c r="I86" s="93">
        <f t="shared" si="15"/>
        <v>-1</v>
      </c>
      <c r="J86" s="85">
        <f t="shared" si="17"/>
        <v>-2596291</v>
      </c>
      <c r="K86" s="93" t="str">
        <f t="shared" si="22"/>
        <v/>
      </c>
    </row>
    <row r="87" spans="1:11" ht="22.8">
      <c r="A87" s="208" t="s">
        <v>719</v>
      </c>
      <c r="B87" s="202">
        <v>62992</v>
      </c>
      <c r="C87" s="75"/>
      <c r="D87" s="10"/>
      <c r="E87" s="10"/>
      <c r="F87" s="202">
        <f t="shared" si="16"/>
        <v>62992</v>
      </c>
      <c r="G87" s="201">
        <v>22080</v>
      </c>
      <c r="H87" s="202">
        <f t="shared" si="13"/>
        <v>-40912</v>
      </c>
      <c r="I87" s="240">
        <f t="shared" si="15"/>
        <v>-0.64947929895859791</v>
      </c>
      <c r="J87" s="202">
        <f t="shared" si="17"/>
        <v>-40912</v>
      </c>
      <c r="K87" s="240">
        <f t="shared" si="22"/>
        <v>-0.64947929895859791</v>
      </c>
    </row>
    <row r="88" spans="1:11" ht="22.8">
      <c r="A88" s="208" t="s">
        <v>352</v>
      </c>
      <c r="B88" s="202"/>
      <c r="C88" s="75"/>
      <c r="D88" s="204">
        <v>286949</v>
      </c>
      <c r="E88" s="204"/>
      <c r="F88" s="202">
        <f t="shared" si="16"/>
        <v>286949</v>
      </c>
      <c r="G88" s="201"/>
      <c r="H88" s="202">
        <f t="shared" si="13"/>
        <v>0</v>
      </c>
      <c r="I88" s="240"/>
      <c r="J88" s="202">
        <f t="shared" si="17"/>
        <v>-286949</v>
      </c>
      <c r="K88" s="240" t="str">
        <f t="shared" si="22"/>
        <v/>
      </c>
    </row>
    <row r="89" spans="1:11">
      <c r="A89" s="208" t="s">
        <v>449</v>
      </c>
      <c r="B89" s="202"/>
      <c r="C89" s="75"/>
      <c r="D89" s="204">
        <v>1620</v>
      </c>
      <c r="E89" s="204"/>
      <c r="F89" s="202">
        <f t="shared" si="16"/>
        <v>1620</v>
      </c>
      <c r="G89" s="201"/>
      <c r="H89" s="202">
        <f t="shared" si="13"/>
        <v>0</v>
      </c>
      <c r="I89" s="240"/>
      <c r="J89" s="202">
        <f t="shared" si="17"/>
        <v>-1620</v>
      </c>
      <c r="K89" s="240" t="str">
        <f t="shared" si="22"/>
        <v/>
      </c>
    </row>
    <row r="90" spans="1:11" ht="22.8">
      <c r="A90" s="208" t="s">
        <v>811</v>
      </c>
      <c r="B90" s="202"/>
      <c r="C90" s="75"/>
      <c r="D90" s="204">
        <v>75000</v>
      </c>
      <c r="E90" s="204"/>
      <c r="F90" s="202">
        <f t="shared" si="16"/>
        <v>75000</v>
      </c>
      <c r="G90" s="201">
        <v>75000</v>
      </c>
      <c r="H90" s="202">
        <f t="shared" si="13"/>
        <v>75000</v>
      </c>
      <c r="I90" s="240"/>
      <c r="J90" s="202">
        <f t="shared" si="17"/>
        <v>0</v>
      </c>
      <c r="K90" s="240">
        <f t="shared" si="22"/>
        <v>0</v>
      </c>
    </row>
    <row r="91" spans="1:11" ht="22.8">
      <c r="A91" s="553" t="s">
        <v>1076</v>
      </c>
      <c r="B91" s="202"/>
      <c r="C91" s="75"/>
      <c r="D91" s="204"/>
      <c r="E91" s="204">
        <v>5000</v>
      </c>
      <c r="F91" s="202">
        <f t="shared" si="16"/>
        <v>5000</v>
      </c>
      <c r="G91" s="201">
        <v>218838</v>
      </c>
      <c r="H91" s="202">
        <f t="shared" si="13"/>
        <v>218838</v>
      </c>
      <c r="I91" s="554"/>
      <c r="J91" s="202">
        <f t="shared" ref="J91" si="23">IF(G91=0,0,G91-F91)</f>
        <v>213838</v>
      </c>
      <c r="K91" s="554"/>
    </row>
    <row r="92" spans="1:11">
      <c r="A92" s="208"/>
      <c r="B92" s="202"/>
      <c r="C92" s="75"/>
      <c r="D92" s="10"/>
      <c r="E92" s="10"/>
      <c r="F92" s="202">
        <f t="shared" si="16"/>
        <v>0</v>
      </c>
      <c r="G92" s="10"/>
      <c r="H92" s="202">
        <f t="shared" si="13"/>
        <v>0</v>
      </c>
      <c r="I92" s="240"/>
      <c r="J92" s="202">
        <f t="shared" si="17"/>
        <v>0</v>
      </c>
      <c r="K92" s="240" t="str">
        <f t="shared" si="22"/>
        <v/>
      </c>
    </row>
    <row r="93" spans="1:11">
      <c r="A93" s="207" t="s">
        <v>404</v>
      </c>
      <c r="B93" s="209">
        <f>SUM(B94:B95)</f>
        <v>46306</v>
      </c>
      <c r="C93" s="75"/>
      <c r="D93" s="10"/>
      <c r="E93" s="10"/>
      <c r="F93" s="209">
        <f t="shared" si="16"/>
        <v>46306</v>
      </c>
      <c r="G93" s="209">
        <f t="shared" ref="G93" si="24">SUM(G94:G95)</f>
        <v>16684</v>
      </c>
      <c r="H93" s="209">
        <f t="shared" si="13"/>
        <v>-29622</v>
      </c>
      <c r="I93" s="241">
        <f t="shared" si="15"/>
        <v>-0.63970111864553192</v>
      </c>
      <c r="J93" s="209">
        <f t="shared" si="17"/>
        <v>-29622</v>
      </c>
      <c r="K93" s="241">
        <f t="shared" si="22"/>
        <v>-0.63970111864553192</v>
      </c>
    </row>
    <row r="94" spans="1:11" ht="22.8">
      <c r="A94" s="208" t="s">
        <v>361</v>
      </c>
      <c r="B94" s="202">
        <v>31126</v>
      </c>
      <c r="C94" s="75"/>
      <c r="D94" s="10"/>
      <c r="E94" s="10"/>
      <c r="F94" s="202">
        <f t="shared" si="16"/>
        <v>31126</v>
      </c>
      <c r="G94" s="10">
        <v>1684</v>
      </c>
      <c r="H94" s="202">
        <f t="shared" si="13"/>
        <v>-29442</v>
      </c>
      <c r="I94" s="240">
        <f t="shared" si="15"/>
        <v>-0.9458973205680139</v>
      </c>
      <c r="J94" s="202">
        <f t="shared" si="17"/>
        <v>-29442</v>
      </c>
      <c r="K94" s="240">
        <f t="shared" si="22"/>
        <v>-0.9458973205680139</v>
      </c>
    </row>
    <row r="95" spans="1:11">
      <c r="A95" s="215" t="s">
        <v>363</v>
      </c>
      <c r="B95" s="85">
        <v>15180</v>
      </c>
      <c r="C95" s="75"/>
      <c r="D95" s="10"/>
      <c r="E95" s="10"/>
      <c r="F95" s="85">
        <f t="shared" si="16"/>
        <v>15180</v>
      </c>
      <c r="G95" s="224">
        <v>15000</v>
      </c>
      <c r="H95" s="85">
        <f t="shared" si="13"/>
        <v>-180</v>
      </c>
      <c r="I95" s="93">
        <f t="shared" si="15"/>
        <v>-1.1857707509881422E-2</v>
      </c>
      <c r="J95" s="85">
        <f t="shared" si="17"/>
        <v>-180</v>
      </c>
      <c r="K95" s="93">
        <f t="shared" si="22"/>
        <v>-1.1857707509881422E-2</v>
      </c>
    </row>
    <row r="96" spans="1:11">
      <c r="A96" s="208"/>
      <c r="B96" s="85"/>
      <c r="C96" s="75"/>
      <c r="D96" s="10"/>
      <c r="E96" s="10"/>
      <c r="F96" s="85">
        <f t="shared" si="16"/>
        <v>0</v>
      </c>
      <c r="G96" s="10"/>
      <c r="H96" s="85">
        <f t="shared" si="13"/>
        <v>0</v>
      </c>
      <c r="I96" s="93"/>
      <c r="J96" s="85">
        <f t="shared" si="17"/>
        <v>0</v>
      </c>
      <c r="K96" s="93" t="str">
        <f t="shared" si="22"/>
        <v/>
      </c>
    </row>
    <row r="97" spans="1:11">
      <c r="A97" s="207" t="s">
        <v>405</v>
      </c>
      <c r="B97" s="209">
        <f>B98</f>
        <v>27370</v>
      </c>
      <c r="C97" s="75"/>
      <c r="D97" s="10"/>
      <c r="E97" s="10"/>
      <c r="F97" s="209">
        <f t="shared" si="16"/>
        <v>27370</v>
      </c>
      <c r="G97" s="10"/>
      <c r="H97" s="209">
        <f t="shared" si="13"/>
        <v>-27370</v>
      </c>
      <c r="I97" s="241">
        <f t="shared" si="15"/>
        <v>-1</v>
      </c>
      <c r="J97" s="209">
        <f t="shared" si="17"/>
        <v>-27370</v>
      </c>
      <c r="K97" s="241" t="str">
        <f t="shared" si="22"/>
        <v/>
      </c>
    </row>
    <row r="98" spans="1:11" ht="22.8">
      <c r="A98" s="208" t="s">
        <v>653</v>
      </c>
      <c r="B98" s="202">
        <v>27370</v>
      </c>
      <c r="C98" s="75"/>
      <c r="D98" s="10"/>
      <c r="E98" s="10"/>
      <c r="F98" s="202">
        <f t="shared" si="16"/>
        <v>27370</v>
      </c>
      <c r="G98" s="10"/>
      <c r="H98" s="202">
        <f t="shared" si="13"/>
        <v>-27370</v>
      </c>
      <c r="I98" s="240">
        <f t="shared" si="15"/>
        <v>-1</v>
      </c>
      <c r="J98" s="202">
        <f t="shared" si="17"/>
        <v>-27370</v>
      </c>
      <c r="K98" s="240" t="str">
        <f t="shared" si="22"/>
        <v/>
      </c>
    </row>
    <row r="99" spans="1:11">
      <c r="A99" s="222"/>
      <c r="B99" s="209"/>
      <c r="C99" s="75"/>
      <c r="D99" s="10"/>
      <c r="E99" s="10"/>
      <c r="F99" s="209">
        <f t="shared" si="16"/>
        <v>0</v>
      </c>
      <c r="G99" s="10"/>
      <c r="H99" s="209">
        <f t="shared" si="13"/>
        <v>0</v>
      </c>
      <c r="I99" s="241"/>
      <c r="J99" s="209">
        <f t="shared" si="17"/>
        <v>0</v>
      </c>
      <c r="K99" s="241" t="str">
        <f t="shared" si="22"/>
        <v/>
      </c>
    </row>
    <row r="100" spans="1:11" s="75" customFormat="1">
      <c r="A100" s="228" t="s">
        <v>2</v>
      </c>
      <c r="B100" s="214">
        <f>+B102+B108+B120+B126</f>
        <v>19625201</v>
      </c>
      <c r="C100" s="214">
        <f t="shared" ref="C100" si="25">+C102+C108+C120+C126</f>
        <v>0</v>
      </c>
      <c r="D100" s="214">
        <f>+D102+D108+D120+D126+D105</f>
        <v>-1317477</v>
      </c>
      <c r="E100" s="214">
        <f>+E102+E108+E120+E126</f>
        <v>-684457</v>
      </c>
      <c r="F100" s="214">
        <f t="shared" si="16"/>
        <v>17623267</v>
      </c>
      <c r="G100" s="214">
        <f>+G102+G108+G120+G126</f>
        <v>19837287</v>
      </c>
      <c r="H100" s="214">
        <f t="shared" si="13"/>
        <v>212086</v>
      </c>
      <c r="I100" s="244">
        <f t="shared" si="15"/>
        <v>1.0806819252449949E-2</v>
      </c>
      <c r="J100" s="214">
        <f t="shared" si="17"/>
        <v>2214020</v>
      </c>
      <c r="K100" s="244">
        <f t="shared" si="22"/>
        <v>0.12563050880407134</v>
      </c>
    </row>
    <row r="101" spans="1:11" s="75" customFormat="1">
      <c r="A101" s="228"/>
      <c r="B101" s="214"/>
      <c r="D101" s="10"/>
      <c r="E101" s="10"/>
      <c r="F101" s="214">
        <f t="shared" si="16"/>
        <v>0</v>
      </c>
      <c r="G101" s="10"/>
      <c r="H101" s="214">
        <f t="shared" si="13"/>
        <v>0</v>
      </c>
      <c r="I101" s="244"/>
      <c r="J101" s="214">
        <f t="shared" si="17"/>
        <v>0</v>
      </c>
      <c r="K101" s="244" t="str">
        <f t="shared" si="22"/>
        <v/>
      </c>
    </row>
    <row r="102" spans="1:11">
      <c r="A102" s="207" t="s">
        <v>597</v>
      </c>
      <c r="B102" s="209">
        <f>B103</f>
        <v>120000</v>
      </c>
      <c r="C102" s="75"/>
      <c r="D102" s="10"/>
      <c r="E102" s="10"/>
      <c r="F102" s="209">
        <f t="shared" si="16"/>
        <v>120000</v>
      </c>
      <c r="G102" s="10"/>
      <c r="H102" s="209">
        <f t="shared" si="13"/>
        <v>-120000</v>
      </c>
      <c r="I102" s="241">
        <f t="shared" si="15"/>
        <v>-1</v>
      </c>
      <c r="J102" s="209">
        <f t="shared" si="17"/>
        <v>-120000</v>
      </c>
      <c r="K102" s="241" t="str">
        <f t="shared" si="22"/>
        <v/>
      </c>
    </row>
    <row r="103" spans="1:11">
      <c r="A103" s="215" t="s">
        <v>464</v>
      </c>
      <c r="B103" s="85">
        <v>120000</v>
      </c>
      <c r="C103" s="75"/>
      <c r="D103" s="10"/>
      <c r="E103" s="10"/>
      <c r="F103" s="85">
        <f t="shared" si="16"/>
        <v>120000</v>
      </c>
      <c r="G103" s="10"/>
      <c r="H103" s="85">
        <f t="shared" si="13"/>
        <v>-120000</v>
      </c>
      <c r="I103" s="93">
        <f t="shared" si="15"/>
        <v>-1</v>
      </c>
      <c r="J103" s="85">
        <f t="shared" si="17"/>
        <v>-120000</v>
      </c>
      <c r="K103" s="93" t="str">
        <f t="shared" si="22"/>
        <v/>
      </c>
    </row>
    <row r="104" spans="1:11">
      <c r="A104" s="222"/>
      <c r="B104" s="209"/>
      <c r="C104" s="75"/>
      <c r="D104" s="10"/>
      <c r="E104" s="10"/>
      <c r="F104" s="209">
        <f t="shared" si="16"/>
        <v>0</v>
      </c>
      <c r="G104" s="10"/>
      <c r="H104" s="209">
        <f t="shared" si="13"/>
        <v>0</v>
      </c>
      <c r="I104" s="241"/>
      <c r="J104" s="209">
        <f t="shared" si="17"/>
        <v>0</v>
      </c>
      <c r="K104" s="241" t="str">
        <f t="shared" si="22"/>
        <v/>
      </c>
    </row>
    <row r="105" spans="1:11">
      <c r="A105" s="207" t="s">
        <v>48</v>
      </c>
      <c r="B105" s="209"/>
      <c r="C105" s="75"/>
      <c r="D105" s="229">
        <f>D106</f>
        <v>642462</v>
      </c>
      <c r="E105" s="229"/>
      <c r="F105" s="209">
        <f t="shared" si="16"/>
        <v>642462</v>
      </c>
      <c r="G105" s="10"/>
      <c r="H105" s="209">
        <f t="shared" si="13"/>
        <v>0</v>
      </c>
      <c r="I105" s="241"/>
      <c r="J105" s="209">
        <f t="shared" si="17"/>
        <v>-642462</v>
      </c>
      <c r="K105" s="241" t="str">
        <f t="shared" si="22"/>
        <v/>
      </c>
    </row>
    <row r="106" spans="1:11">
      <c r="A106" s="223" t="s">
        <v>403</v>
      </c>
      <c r="B106" s="209"/>
      <c r="C106" s="75"/>
      <c r="D106" s="225">
        <v>642462</v>
      </c>
      <c r="E106" s="225"/>
      <c r="F106" s="209">
        <f t="shared" si="16"/>
        <v>642462</v>
      </c>
      <c r="G106" s="10"/>
      <c r="H106" s="209">
        <f t="shared" si="13"/>
        <v>0</v>
      </c>
      <c r="I106" s="241"/>
      <c r="J106" s="209">
        <f t="shared" si="17"/>
        <v>-642462</v>
      </c>
      <c r="K106" s="241" t="str">
        <f t="shared" si="22"/>
        <v/>
      </c>
    </row>
    <row r="107" spans="1:11">
      <c r="A107" s="222"/>
      <c r="B107" s="209"/>
      <c r="C107" s="75"/>
      <c r="D107" s="10"/>
      <c r="E107" s="10"/>
      <c r="F107" s="209">
        <f t="shared" si="16"/>
        <v>0</v>
      </c>
      <c r="G107" s="10"/>
      <c r="H107" s="209">
        <f t="shared" si="13"/>
        <v>0</v>
      </c>
      <c r="I107" s="241"/>
      <c r="J107" s="209">
        <f t="shared" si="17"/>
        <v>0</v>
      </c>
      <c r="K107" s="241" t="str">
        <f t="shared" si="22"/>
        <v/>
      </c>
    </row>
    <row r="108" spans="1:11">
      <c r="A108" s="207" t="s">
        <v>404</v>
      </c>
      <c r="B108" s="209">
        <f>B110+B113+B115+B109</f>
        <v>5926933</v>
      </c>
      <c r="C108" s="209">
        <f t="shared" ref="C108" si="26">C110+C113+C115+C109</f>
        <v>0</v>
      </c>
      <c r="D108" s="209">
        <f>D110+D113+D115+D109+D116</f>
        <v>238329</v>
      </c>
      <c r="E108" s="209">
        <f>E110+E113+E115+E109+E116+E117+E118</f>
        <v>24854</v>
      </c>
      <c r="F108" s="209">
        <f>SUM(B108:E108)</f>
        <v>6190116</v>
      </c>
      <c r="G108" s="209">
        <f>G110+G113+G115+G109+G117+G118</f>
        <v>19837287</v>
      </c>
      <c r="H108" s="209">
        <f t="shared" si="13"/>
        <v>13910354</v>
      </c>
      <c r="I108" s="241">
        <f t="shared" si="15"/>
        <v>2.3469733840419655</v>
      </c>
      <c r="J108" s="209">
        <f t="shared" si="17"/>
        <v>13647171</v>
      </c>
      <c r="K108" s="241">
        <f t="shared" si="22"/>
        <v>2.2046712856431125</v>
      </c>
    </row>
    <row r="109" spans="1:11">
      <c r="A109" s="230" t="s">
        <v>353</v>
      </c>
      <c r="B109" s="231">
        <v>1172073</v>
      </c>
      <c r="C109" s="75"/>
      <c r="D109" s="232">
        <v>202449</v>
      </c>
      <c r="E109" s="232"/>
      <c r="F109" s="231">
        <f t="shared" si="16"/>
        <v>1374522</v>
      </c>
      <c r="G109" s="231"/>
      <c r="H109" s="231">
        <f t="shared" si="13"/>
        <v>-1172073</v>
      </c>
      <c r="I109" s="93">
        <f t="shared" si="15"/>
        <v>-1</v>
      </c>
      <c r="J109" s="231">
        <f t="shared" si="17"/>
        <v>-1374522</v>
      </c>
      <c r="K109" s="93" t="str">
        <f t="shared" si="22"/>
        <v/>
      </c>
    </row>
    <row r="110" spans="1:11">
      <c r="A110" s="233" t="s">
        <v>305</v>
      </c>
      <c r="B110" s="202">
        <f>SUM(B111:B112)</f>
        <v>2067420</v>
      </c>
      <c r="C110" s="75"/>
      <c r="D110" s="10"/>
      <c r="E110" s="10"/>
      <c r="F110" s="202">
        <f t="shared" si="16"/>
        <v>2067420</v>
      </c>
      <c r="G110" s="202">
        <f t="shared" ref="G110" si="27">SUM(G111:G112)</f>
        <v>18447960</v>
      </c>
      <c r="H110" s="202">
        <f t="shared" si="13"/>
        <v>16380540</v>
      </c>
      <c r="I110" s="240">
        <f t="shared" si="15"/>
        <v>7.9231796151725336</v>
      </c>
      <c r="J110" s="202">
        <f t="shared" si="17"/>
        <v>16380540</v>
      </c>
      <c r="K110" s="240">
        <f t="shared" si="22"/>
        <v>7.9231796151725336</v>
      </c>
    </row>
    <row r="111" spans="1:11">
      <c r="A111" s="234" t="s">
        <v>812</v>
      </c>
      <c r="B111" s="86">
        <v>1300000</v>
      </c>
      <c r="C111" s="75"/>
      <c r="D111" s="10"/>
      <c r="E111" s="10"/>
      <c r="F111" s="86">
        <f t="shared" si="16"/>
        <v>1300000</v>
      </c>
      <c r="G111" s="236">
        <v>17800000</v>
      </c>
      <c r="H111" s="86">
        <f t="shared" si="13"/>
        <v>16500000</v>
      </c>
      <c r="I111" s="94">
        <f t="shared" si="15"/>
        <v>12.692307692307692</v>
      </c>
      <c r="J111" s="86">
        <f t="shared" si="17"/>
        <v>16500000</v>
      </c>
      <c r="K111" s="94">
        <f t="shared" si="22"/>
        <v>12.692307692307692</v>
      </c>
    </row>
    <row r="112" spans="1:11">
      <c r="A112" s="234" t="s">
        <v>379</v>
      </c>
      <c r="B112" s="86">
        <v>767420</v>
      </c>
      <c r="C112" s="75"/>
      <c r="D112" s="10"/>
      <c r="E112" s="10"/>
      <c r="F112" s="86">
        <f t="shared" si="16"/>
        <v>767420</v>
      </c>
      <c r="G112" s="236">
        <v>647960</v>
      </c>
      <c r="H112" s="86">
        <f t="shared" si="13"/>
        <v>-119460</v>
      </c>
      <c r="I112" s="94">
        <f t="shared" si="15"/>
        <v>-0.15566443407781919</v>
      </c>
      <c r="J112" s="86">
        <f t="shared" si="17"/>
        <v>-119460</v>
      </c>
      <c r="K112" s="94">
        <f t="shared" si="22"/>
        <v>-0.15566443407781919</v>
      </c>
    </row>
    <row r="113" spans="1:11">
      <c r="A113" s="233" t="s">
        <v>306</v>
      </c>
      <c r="B113" s="202">
        <f>B114</f>
        <v>596000</v>
      </c>
      <c r="C113" s="75"/>
      <c r="D113" s="10"/>
      <c r="E113" s="10"/>
      <c r="F113" s="202">
        <f t="shared" si="16"/>
        <v>596000</v>
      </c>
      <c r="G113" s="202">
        <f t="shared" ref="G113" si="28">G114</f>
        <v>838303</v>
      </c>
      <c r="H113" s="202">
        <f t="shared" si="13"/>
        <v>242303</v>
      </c>
      <c r="I113" s="240">
        <f t="shared" si="15"/>
        <v>0.40654865771812082</v>
      </c>
      <c r="J113" s="202">
        <f t="shared" si="17"/>
        <v>242303</v>
      </c>
      <c r="K113" s="240">
        <f t="shared" si="22"/>
        <v>0.40654865771812082</v>
      </c>
    </row>
    <row r="114" spans="1:11">
      <c r="A114" s="235" t="s">
        <v>738</v>
      </c>
      <c r="B114" s="236">
        <v>596000</v>
      </c>
      <c r="C114" s="75"/>
      <c r="D114" s="10"/>
      <c r="E114" s="10"/>
      <c r="F114" s="236">
        <f t="shared" si="16"/>
        <v>596000</v>
      </c>
      <c r="G114" s="236">
        <v>838303</v>
      </c>
      <c r="H114" s="236">
        <f t="shared" si="13"/>
        <v>242303</v>
      </c>
      <c r="I114" s="248">
        <f t="shared" si="15"/>
        <v>0.40654865771812082</v>
      </c>
      <c r="J114" s="236">
        <f t="shared" si="17"/>
        <v>242303</v>
      </c>
      <c r="K114" s="248">
        <f t="shared" si="22"/>
        <v>0.40654865771812082</v>
      </c>
    </row>
    <row r="115" spans="1:11">
      <c r="A115" s="233" t="s">
        <v>472</v>
      </c>
      <c r="B115" s="202">
        <v>2091440</v>
      </c>
      <c r="C115" s="75"/>
      <c r="D115" s="10"/>
      <c r="E115" s="10"/>
      <c r="F115" s="202">
        <f t="shared" si="16"/>
        <v>2091440</v>
      </c>
      <c r="G115" s="702"/>
      <c r="H115" s="202">
        <f t="shared" si="13"/>
        <v>-2091440</v>
      </c>
      <c r="I115" s="248">
        <f t="shared" si="15"/>
        <v>-1</v>
      </c>
      <c r="J115" s="202">
        <f t="shared" si="17"/>
        <v>-2091440</v>
      </c>
      <c r="K115" s="248" t="str">
        <f t="shared" si="22"/>
        <v/>
      </c>
    </row>
    <row r="116" spans="1:11">
      <c r="A116" s="237" t="s">
        <v>813</v>
      </c>
      <c r="B116" s="202"/>
      <c r="C116" s="75"/>
      <c r="D116" s="201">
        <v>35880</v>
      </c>
      <c r="E116" s="201"/>
      <c r="F116" s="202">
        <f t="shared" si="16"/>
        <v>35880</v>
      </c>
      <c r="G116" s="702"/>
      <c r="H116" s="202">
        <f t="shared" si="13"/>
        <v>0</v>
      </c>
      <c r="I116" s="248"/>
      <c r="J116" s="202">
        <f t="shared" si="17"/>
        <v>-35880</v>
      </c>
      <c r="K116" s="248" t="str">
        <f t="shared" si="22"/>
        <v/>
      </c>
    </row>
    <row r="117" spans="1:11" s="75" customFormat="1">
      <c r="A117" s="237" t="s">
        <v>1181</v>
      </c>
      <c r="B117" s="202"/>
      <c r="D117" s="201"/>
      <c r="E117" s="201">
        <v>10192</v>
      </c>
      <c r="F117" s="202">
        <f t="shared" si="16"/>
        <v>10192</v>
      </c>
      <c r="G117" s="702">
        <v>216316</v>
      </c>
      <c r="H117" s="202">
        <f t="shared" si="13"/>
        <v>216316</v>
      </c>
      <c r="I117" s="248"/>
      <c r="J117" s="202">
        <f t="shared" si="17"/>
        <v>206124</v>
      </c>
      <c r="K117" s="248">
        <f t="shared" si="22"/>
        <v>20.224097331240188</v>
      </c>
    </row>
    <row r="118" spans="1:11" s="75" customFormat="1">
      <c r="A118" s="237" t="s">
        <v>1182</v>
      </c>
      <c r="B118" s="202"/>
      <c r="D118" s="201"/>
      <c r="E118" s="201">
        <v>14662</v>
      </c>
      <c r="F118" s="202">
        <f t="shared" si="16"/>
        <v>14662</v>
      </c>
      <c r="G118" s="702">
        <v>334708</v>
      </c>
      <c r="H118" s="202">
        <f t="shared" si="13"/>
        <v>334708</v>
      </c>
      <c r="I118" s="248"/>
      <c r="J118" s="202">
        <f t="shared" si="17"/>
        <v>320046</v>
      </c>
      <c r="K118" s="248">
        <f t="shared" si="22"/>
        <v>21.828263538398581</v>
      </c>
    </row>
    <row r="119" spans="1:11">
      <c r="A119" s="215"/>
      <c r="B119" s="85"/>
      <c r="C119" s="75"/>
      <c r="D119" s="10"/>
      <c r="E119" s="10"/>
      <c r="F119" s="85">
        <f t="shared" si="16"/>
        <v>0</v>
      </c>
      <c r="G119" s="702"/>
      <c r="H119" s="85">
        <f t="shared" si="13"/>
        <v>0</v>
      </c>
      <c r="I119" s="93"/>
      <c r="J119" s="85">
        <f t="shared" si="17"/>
        <v>0</v>
      </c>
      <c r="K119" s="93" t="str">
        <f t="shared" si="22"/>
        <v/>
      </c>
    </row>
    <row r="120" spans="1:11">
      <c r="A120" s="207" t="s">
        <v>38</v>
      </c>
      <c r="B120" s="209">
        <f>B121+B122+B123+B124</f>
        <v>12551000</v>
      </c>
      <c r="C120" s="209">
        <f t="shared" ref="C120:E120" si="29">C121+C122+C123+C124</f>
        <v>0</v>
      </c>
      <c r="D120" s="209">
        <f t="shared" si="29"/>
        <v>-1171000</v>
      </c>
      <c r="E120" s="209">
        <f t="shared" si="29"/>
        <v>-709311</v>
      </c>
      <c r="F120" s="209">
        <f t="shared" si="16"/>
        <v>10670689</v>
      </c>
      <c r="G120" s="702"/>
      <c r="H120" s="209">
        <f t="shared" si="13"/>
        <v>-12551000</v>
      </c>
      <c r="I120" s="241">
        <f t="shared" si="15"/>
        <v>-1</v>
      </c>
      <c r="J120" s="209">
        <f t="shared" si="17"/>
        <v>-10670689</v>
      </c>
      <c r="K120" s="241" t="str">
        <f t="shared" si="22"/>
        <v/>
      </c>
    </row>
    <row r="121" spans="1:11">
      <c r="A121" s="237" t="s">
        <v>814</v>
      </c>
      <c r="B121" s="85">
        <v>120000</v>
      </c>
      <c r="C121" s="206"/>
      <c r="D121" s="201">
        <v>-120000</v>
      </c>
      <c r="E121" s="201"/>
      <c r="F121" s="85">
        <f t="shared" si="16"/>
        <v>0</v>
      </c>
      <c r="G121" s="702"/>
      <c r="H121" s="85">
        <f t="shared" si="13"/>
        <v>-120000</v>
      </c>
      <c r="I121" s="93">
        <f t="shared" si="15"/>
        <v>-1</v>
      </c>
      <c r="J121" s="85">
        <f t="shared" si="17"/>
        <v>0</v>
      </c>
      <c r="K121" s="93" t="str">
        <f t="shared" si="22"/>
        <v/>
      </c>
    </row>
    <row r="122" spans="1:11">
      <c r="A122" s="237" t="s">
        <v>815</v>
      </c>
      <c r="B122" s="85">
        <v>120000</v>
      </c>
      <c r="C122" s="206"/>
      <c r="D122" s="201">
        <v>-120000</v>
      </c>
      <c r="E122" s="201"/>
      <c r="F122" s="85">
        <f t="shared" si="16"/>
        <v>0</v>
      </c>
      <c r="G122" s="703"/>
      <c r="H122" s="85">
        <f t="shared" si="13"/>
        <v>-120000</v>
      </c>
      <c r="I122" s="93">
        <f t="shared" si="15"/>
        <v>-1</v>
      </c>
      <c r="J122" s="85">
        <f t="shared" si="17"/>
        <v>0</v>
      </c>
      <c r="K122" s="93" t="str">
        <f t="shared" si="22"/>
        <v/>
      </c>
    </row>
    <row r="123" spans="1:11">
      <c r="A123" s="237" t="s">
        <v>816</v>
      </c>
      <c r="B123" s="85">
        <v>11380000</v>
      </c>
      <c r="C123" s="206"/>
      <c r="D123" s="10"/>
      <c r="E123" s="566">
        <v>-709311</v>
      </c>
      <c r="F123" s="85">
        <f t="shared" si="16"/>
        <v>10670689</v>
      </c>
      <c r="G123" s="702"/>
      <c r="H123" s="85">
        <f t="shared" si="13"/>
        <v>-11380000</v>
      </c>
      <c r="I123" s="93">
        <f t="shared" si="15"/>
        <v>-1</v>
      </c>
      <c r="J123" s="85">
        <f t="shared" si="17"/>
        <v>-10670689</v>
      </c>
      <c r="K123" s="93" t="str">
        <f t="shared" si="22"/>
        <v/>
      </c>
    </row>
    <row r="124" spans="1:11">
      <c r="A124" s="237" t="s">
        <v>802</v>
      </c>
      <c r="B124" s="85">
        <v>931000</v>
      </c>
      <c r="C124" s="206"/>
      <c r="D124" s="85">
        <v>-931000</v>
      </c>
      <c r="E124" s="85"/>
      <c r="F124" s="85">
        <f t="shared" si="16"/>
        <v>0</v>
      </c>
      <c r="G124" s="702"/>
      <c r="H124" s="85">
        <f t="shared" si="13"/>
        <v>-931000</v>
      </c>
      <c r="I124" s="93">
        <f t="shared" si="15"/>
        <v>-1</v>
      </c>
      <c r="J124" s="85">
        <f t="shared" si="17"/>
        <v>0</v>
      </c>
      <c r="K124" s="93" t="str">
        <f t="shared" si="22"/>
        <v/>
      </c>
    </row>
    <row r="125" spans="1:11">
      <c r="A125" s="215"/>
      <c r="B125" s="85"/>
      <c r="C125" s="75"/>
      <c r="D125" s="10"/>
      <c r="E125" s="10"/>
      <c r="F125" s="85">
        <f t="shared" si="16"/>
        <v>0</v>
      </c>
      <c r="G125" s="10"/>
      <c r="H125" s="85">
        <f t="shared" si="13"/>
        <v>0</v>
      </c>
      <c r="I125" s="93"/>
      <c r="J125" s="85">
        <f t="shared" si="17"/>
        <v>0</v>
      </c>
      <c r="K125" s="93" t="str">
        <f t="shared" si="22"/>
        <v/>
      </c>
    </row>
    <row r="126" spans="1:11">
      <c r="A126" s="207" t="s">
        <v>35</v>
      </c>
      <c r="B126" s="209">
        <f>B127</f>
        <v>1027268</v>
      </c>
      <c r="C126" s="75"/>
      <c r="D126" s="229">
        <f>D127</f>
        <v>-1027268</v>
      </c>
      <c r="E126" s="229"/>
      <c r="F126" s="209">
        <f t="shared" si="16"/>
        <v>0</v>
      </c>
      <c r="G126" s="10"/>
      <c r="H126" s="209">
        <f t="shared" si="13"/>
        <v>-1027268</v>
      </c>
      <c r="I126" s="241">
        <f t="shared" si="15"/>
        <v>-1</v>
      </c>
      <c r="J126" s="209">
        <f t="shared" si="17"/>
        <v>0</v>
      </c>
      <c r="K126" s="241" t="str">
        <f t="shared" si="22"/>
        <v/>
      </c>
    </row>
    <row r="127" spans="1:11">
      <c r="A127" s="237" t="s">
        <v>817</v>
      </c>
      <c r="B127" s="85">
        <v>1027268</v>
      </c>
      <c r="C127" s="75"/>
      <c r="D127" s="201">
        <v>-1027268</v>
      </c>
      <c r="E127" s="201"/>
      <c r="F127" s="85">
        <f t="shared" si="16"/>
        <v>0</v>
      </c>
      <c r="G127" s="10"/>
      <c r="H127" s="85">
        <f t="shared" si="13"/>
        <v>-1027268</v>
      </c>
      <c r="I127" s="93">
        <f t="shared" si="15"/>
        <v>-1</v>
      </c>
      <c r="J127" s="85">
        <f t="shared" si="17"/>
        <v>0</v>
      </c>
      <c r="K127" s="93" t="str">
        <f t="shared" si="22"/>
        <v/>
      </c>
    </row>
    <row r="128" spans="1:11">
      <c r="A128" s="196"/>
      <c r="B128" s="197"/>
      <c r="C128" s="75"/>
      <c r="D128" s="10"/>
      <c r="E128" s="10"/>
      <c r="F128" s="197">
        <f t="shared" si="16"/>
        <v>0</v>
      </c>
      <c r="G128" s="10"/>
      <c r="H128" s="197">
        <f t="shared" si="13"/>
        <v>0</v>
      </c>
      <c r="I128" s="238"/>
      <c r="J128" s="197">
        <f t="shared" si="17"/>
        <v>0</v>
      </c>
      <c r="K128" s="238" t="str">
        <f t="shared" si="22"/>
        <v/>
      </c>
    </row>
    <row r="129" spans="1:11">
      <c r="A129" s="196" t="s">
        <v>818</v>
      </c>
      <c r="B129" s="197">
        <v>49800</v>
      </c>
      <c r="C129" s="77"/>
      <c r="D129" s="135"/>
      <c r="E129" s="123">
        <v>30105</v>
      </c>
      <c r="F129" s="197">
        <f t="shared" si="16"/>
        <v>79905</v>
      </c>
      <c r="G129" s="123">
        <v>49800</v>
      </c>
      <c r="H129" s="197">
        <f t="shared" si="13"/>
        <v>0</v>
      </c>
      <c r="I129" s="506">
        <f t="shared" si="15"/>
        <v>0</v>
      </c>
      <c r="J129" s="197">
        <f t="shared" si="17"/>
        <v>-30105</v>
      </c>
      <c r="K129" s="506">
        <f t="shared" si="22"/>
        <v>-0.37675990238408108</v>
      </c>
    </row>
    <row r="130" spans="1:11">
      <c r="A130" s="135"/>
      <c r="B130" s="214"/>
      <c r="C130" s="75"/>
      <c r="D130" s="10"/>
      <c r="E130" s="10"/>
      <c r="F130" s="214">
        <f t="shared" si="16"/>
        <v>0</v>
      </c>
      <c r="G130" s="10"/>
      <c r="H130" s="214">
        <f t="shared" si="13"/>
        <v>0</v>
      </c>
      <c r="I130" s="244"/>
      <c r="J130" s="214">
        <f t="shared" si="17"/>
        <v>0</v>
      </c>
      <c r="K130" s="244" t="str">
        <f t="shared" si="22"/>
        <v/>
      </c>
    </row>
    <row r="131" spans="1:11">
      <c r="A131" s="196" t="s">
        <v>4</v>
      </c>
      <c r="B131" s="197">
        <f>B5+B49+B40+B129</f>
        <v>173832878</v>
      </c>
      <c r="C131" s="197">
        <f>C5+C49+C40+C129</f>
        <v>0</v>
      </c>
      <c r="D131" s="197">
        <f>D5+D49+D40+D129</f>
        <v>8454257</v>
      </c>
      <c r="E131" s="197">
        <f>E5+E49+E40+E129</f>
        <v>4179379</v>
      </c>
      <c r="F131" s="197">
        <f t="shared" si="16"/>
        <v>186466514</v>
      </c>
      <c r="G131" s="197">
        <f>G5+G49+G40+G129</f>
        <v>193793628</v>
      </c>
      <c r="H131" s="197">
        <f t="shared" si="13"/>
        <v>19960750</v>
      </c>
      <c r="I131" s="238">
        <f t="shared" si="15"/>
        <v>0.11482724228957425</v>
      </c>
      <c r="J131" s="197">
        <f t="shared" ref="J131" si="30">IF(G131=0,0,G131-F131)</f>
        <v>7327114</v>
      </c>
      <c r="K131" s="238">
        <f t="shared" si="22"/>
        <v>3.9294529847863191E-2</v>
      </c>
    </row>
    <row r="132" spans="1:11">
      <c r="F132" s="17">
        <f t="shared" si="16"/>
        <v>0</v>
      </c>
    </row>
    <row r="133" spans="1:11">
      <c r="F133" s="17">
        <f t="shared" si="16"/>
        <v>0</v>
      </c>
      <c r="G133" s="25"/>
      <c r="H133" s="25"/>
      <c r="I133" s="25"/>
    </row>
    <row r="134" spans="1:11">
      <c r="F134" s="17">
        <f t="shared" si="16"/>
        <v>0</v>
      </c>
    </row>
    <row r="136" spans="1:11">
      <c r="A136" s="183"/>
    </row>
  </sheetData>
  <autoFilter ref="A4:K134" xr:uid="{00000000-0001-0000-0800-000000000000}"/>
  <mergeCells count="3">
    <mergeCell ref="J2:K2"/>
    <mergeCell ref="H2:I2"/>
    <mergeCell ref="B2:F2"/>
  </mergeCells>
  <phoneticPr fontId="39" type="noConversion"/>
  <printOptions gridLines="1"/>
  <pageMargins left="0.19685039370078741" right="0.19685039370078741" top="0.47244094488188981" bottom="0.98425196850393704" header="0.51181102362204722" footer="0.51181102362204722"/>
  <pageSetup paperSize="9" scale="80"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79998168889431442"/>
  </sheetPr>
  <dimension ref="A1:R2061"/>
  <sheetViews>
    <sheetView showZeros="0" zoomScaleNormal="100" workbookViewId="0">
      <pane xSplit="5" ySplit="4" topLeftCell="F5" activePane="bottomRight" state="frozen"/>
      <selection activeCell="N23" sqref="N23"/>
      <selection pane="topRight" activeCell="N23" sqref="N23"/>
      <selection pane="bottomLeft" activeCell="N23" sqref="N23"/>
      <selection pane="bottomRight" activeCell="E1" sqref="E1"/>
    </sheetView>
  </sheetViews>
  <sheetFormatPr defaultColWidth="9.44140625" defaultRowHeight="13.2"/>
  <cols>
    <col min="1" max="1" width="7.5546875" style="77" hidden="1" customWidth="1"/>
    <col min="2" max="2" width="3" style="77" hidden="1" customWidth="1"/>
    <col min="3" max="3" width="8.44140625" style="482" hidden="1" customWidth="1"/>
    <col min="4" max="4" width="6.5546875" style="482" hidden="1" customWidth="1"/>
    <col min="5" max="5" width="45.44140625" style="75" customWidth="1"/>
    <col min="6" max="6" width="14.21875" style="77" bestFit="1" customWidth="1"/>
    <col min="7" max="7" width="11.44140625" style="77" hidden="1" customWidth="1"/>
    <col min="8" max="8" width="13.44140625" style="77" hidden="1" customWidth="1"/>
    <col min="9" max="9" width="13.44140625" style="155" hidden="1" customWidth="1"/>
    <col min="10" max="10" width="12.44140625" style="77" hidden="1" customWidth="1"/>
    <col min="11" max="11" width="15" style="77" bestFit="1" customWidth="1"/>
    <col min="12" max="12" width="14.21875" style="135" bestFit="1" customWidth="1"/>
    <col min="13" max="13" width="14.21875" style="75" bestFit="1" customWidth="1"/>
    <col min="14" max="14" width="7.77734375" style="75" bestFit="1" customWidth="1"/>
    <col min="15" max="15" width="12.77734375" style="75" bestFit="1" customWidth="1"/>
    <col min="16" max="16" width="7.77734375" style="75" bestFit="1" customWidth="1"/>
    <col min="17" max="16384" width="9.44140625" style="75"/>
  </cols>
  <sheetData>
    <row r="1" spans="1:16" ht="13.8">
      <c r="E1" s="258" t="s">
        <v>43</v>
      </c>
      <c r="L1" s="136"/>
    </row>
    <row r="2" spans="1:16" ht="13.8">
      <c r="E2" s="258"/>
      <c r="L2" s="10"/>
    </row>
    <row r="3" spans="1:16" ht="26.25" customHeight="1">
      <c r="E3" s="258"/>
      <c r="F3" s="769">
        <v>2022</v>
      </c>
      <c r="G3" s="770"/>
      <c r="H3" s="770"/>
      <c r="I3" s="770"/>
      <c r="J3" s="770"/>
      <c r="K3" s="771"/>
      <c r="L3" s="638">
        <v>2023</v>
      </c>
      <c r="M3" s="758" t="s">
        <v>1212</v>
      </c>
      <c r="N3" s="759"/>
      <c r="O3" s="756" t="s">
        <v>1213</v>
      </c>
      <c r="P3" s="757"/>
    </row>
    <row r="4" spans="1:16" ht="36.75" customHeight="1">
      <c r="A4" s="549" t="s">
        <v>822</v>
      </c>
      <c r="B4" s="549" t="s">
        <v>823</v>
      </c>
      <c r="C4" s="485" t="s">
        <v>824</v>
      </c>
      <c r="D4" s="485" t="s">
        <v>825</v>
      </c>
      <c r="E4" s="147"/>
      <c r="F4" s="772" t="s">
        <v>826</v>
      </c>
      <c r="G4" s="773" t="s">
        <v>827</v>
      </c>
      <c r="H4" s="773" t="s">
        <v>828</v>
      </c>
      <c r="I4" s="773" t="s">
        <v>1249</v>
      </c>
      <c r="J4" s="773" t="s">
        <v>829</v>
      </c>
      <c r="K4" s="774" t="s">
        <v>668</v>
      </c>
      <c r="L4" s="639" t="s">
        <v>1211</v>
      </c>
      <c r="M4" s="640" t="s">
        <v>14</v>
      </c>
      <c r="N4" s="641" t="s">
        <v>743</v>
      </c>
      <c r="O4" s="642" t="s">
        <v>14</v>
      </c>
      <c r="P4" s="643" t="s">
        <v>743</v>
      </c>
    </row>
    <row r="5" spans="1:16" ht="15.6">
      <c r="E5" s="259" t="s">
        <v>9</v>
      </c>
      <c r="F5" s="682"/>
      <c r="G5" s="135"/>
      <c r="H5" s="135"/>
      <c r="I5" s="135"/>
      <c r="J5" s="135"/>
      <c r="K5" s="682"/>
      <c r="L5" s="682"/>
      <c r="M5" s="10"/>
      <c r="N5" s="10"/>
      <c r="O5" s="10"/>
      <c r="P5" s="10"/>
    </row>
    <row r="6" spans="1:16">
      <c r="E6" s="261"/>
      <c r="F6" s="127"/>
      <c r="G6" s="135"/>
      <c r="H6" s="135"/>
      <c r="I6" s="136"/>
      <c r="J6" s="135"/>
      <c r="K6" s="127"/>
      <c r="L6" s="127"/>
      <c r="M6" s="10"/>
      <c r="N6" s="10"/>
      <c r="O6" s="10"/>
      <c r="P6" s="10"/>
    </row>
    <row r="7" spans="1:16">
      <c r="E7" s="261" t="s">
        <v>98</v>
      </c>
      <c r="F7" s="127">
        <f>F14+F18+F21</f>
        <v>2807699</v>
      </c>
      <c r="G7" s="127">
        <f>G14+G18+G21</f>
        <v>0</v>
      </c>
      <c r="H7" s="127">
        <f>H14+H18+H21</f>
        <v>137973</v>
      </c>
      <c r="I7" s="127">
        <f>I14+I18+I21</f>
        <v>8040</v>
      </c>
      <c r="J7" s="127">
        <f>J14+J18+J21</f>
        <v>91912</v>
      </c>
      <c r="K7" s="127">
        <f>F7+G7+H7+J7+I7</f>
        <v>3045624</v>
      </c>
      <c r="L7" s="127">
        <f>L14+L18+L21</f>
        <v>3083957</v>
      </c>
      <c r="M7" s="127">
        <f>L7-F7</f>
        <v>276258</v>
      </c>
      <c r="N7" s="160">
        <f>M7/F7</f>
        <v>9.8393025748130414E-2</v>
      </c>
      <c r="O7" s="127">
        <f>L7-K7</f>
        <v>38333</v>
      </c>
      <c r="P7" s="160">
        <f>O7/K7</f>
        <v>1.2586254902115297E-2</v>
      </c>
    </row>
    <row r="8" spans="1:16">
      <c r="E8" s="262" t="s">
        <v>359</v>
      </c>
      <c r="F8" s="128">
        <v>85075</v>
      </c>
      <c r="G8" s="135"/>
      <c r="H8" s="135"/>
      <c r="I8" s="136"/>
      <c r="J8" s="135"/>
      <c r="K8" s="128">
        <f t="shared" ref="K8:K71" si="0">F8+G8+H8+J8+I8</f>
        <v>85075</v>
      </c>
      <c r="L8" s="136">
        <v>37860</v>
      </c>
      <c r="M8" s="136">
        <f t="shared" ref="M8:M71" si="1">L8-F8</f>
        <v>-47215</v>
      </c>
      <c r="N8" s="157">
        <f t="shared" ref="N8:N67" si="2">M8/F8</f>
        <v>-0.55498089920658245</v>
      </c>
      <c r="O8" s="136">
        <f t="shared" ref="O8:O71" si="3">L8-K8</f>
        <v>-47215</v>
      </c>
      <c r="P8" s="157">
        <f t="shared" ref="P8:P67" si="4">O8/K8</f>
        <v>-0.55498089920658245</v>
      </c>
    </row>
    <row r="9" spans="1:16">
      <c r="E9" s="261" t="s">
        <v>44</v>
      </c>
      <c r="F9" s="127">
        <f>F10+F11</f>
        <v>2807699</v>
      </c>
      <c r="G9" s="127">
        <f>G10+G11</f>
        <v>0</v>
      </c>
      <c r="H9" s="127">
        <f>H10+H11</f>
        <v>137973</v>
      </c>
      <c r="I9" s="127">
        <f>I10+I11</f>
        <v>8040</v>
      </c>
      <c r="J9" s="127">
        <f>J10+J11</f>
        <v>91912</v>
      </c>
      <c r="K9" s="127">
        <f t="shared" si="0"/>
        <v>3045624</v>
      </c>
      <c r="L9" s="127">
        <f>L7</f>
        <v>3083957</v>
      </c>
      <c r="M9" s="127">
        <f t="shared" si="1"/>
        <v>276258</v>
      </c>
      <c r="N9" s="160">
        <f t="shared" si="2"/>
        <v>9.8393025748130414E-2</v>
      </c>
      <c r="O9" s="127">
        <f t="shared" si="3"/>
        <v>38333</v>
      </c>
      <c r="P9" s="160">
        <f t="shared" si="4"/>
        <v>1.2586254902115297E-2</v>
      </c>
    </row>
    <row r="10" spans="1:16">
      <c r="E10" s="262" t="s">
        <v>45</v>
      </c>
      <c r="F10" s="128">
        <v>28450</v>
      </c>
      <c r="G10" s="135"/>
      <c r="H10" s="135"/>
      <c r="I10" s="136"/>
      <c r="J10" s="135"/>
      <c r="K10" s="128">
        <f t="shared" si="0"/>
        <v>28450</v>
      </c>
      <c r="L10" s="128">
        <v>700</v>
      </c>
      <c r="M10" s="128">
        <f t="shared" si="1"/>
        <v>-27750</v>
      </c>
      <c r="N10" s="91">
        <f t="shared" si="2"/>
        <v>-0.97539543057996481</v>
      </c>
      <c r="O10" s="128">
        <f t="shared" si="3"/>
        <v>-27750</v>
      </c>
      <c r="P10" s="91">
        <f t="shared" si="4"/>
        <v>-0.97539543057996481</v>
      </c>
    </row>
    <row r="11" spans="1:16">
      <c r="E11" s="263" t="s">
        <v>46</v>
      </c>
      <c r="F11" s="128">
        <f>F7-F10</f>
        <v>2779249</v>
      </c>
      <c r="G11" s="128">
        <f>G7-G10</f>
        <v>0</v>
      </c>
      <c r="H11" s="128">
        <f>H7-H10</f>
        <v>137973</v>
      </c>
      <c r="I11" s="128">
        <f>I7-I10</f>
        <v>8040</v>
      </c>
      <c r="J11" s="128">
        <f>J7-J10</f>
        <v>91912</v>
      </c>
      <c r="K11" s="128">
        <f t="shared" si="0"/>
        <v>3017174</v>
      </c>
      <c r="L11" s="128">
        <f>L9-L10</f>
        <v>3083257</v>
      </c>
      <c r="M11" s="128">
        <f t="shared" si="1"/>
        <v>304008</v>
      </c>
      <c r="N11" s="91">
        <f t="shared" si="2"/>
        <v>0.10938494535754083</v>
      </c>
      <c r="O11" s="128">
        <f t="shared" si="3"/>
        <v>66083</v>
      </c>
      <c r="P11" s="91">
        <f t="shared" si="4"/>
        <v>2.1902283394991472E-2</v>
      </c>
    </row>
    <row r="12" spans="1:16" s="10" customFormat="1">
      <c r="A12" s="135"/>
      <c r="B12" s="135"/>
      <c r="C12" s="482"/>
      <c r="D12" s="482"/>
      <c r="E12" s="264" t="s">
        <v>718</v>
      </c>
      <c r="F12" s="129">
        <f>F15+F19+F22</f>
        <v>1780245</v>
      </c>
      <c r="G12" s="135"/>
      <c r="H12" s="129">
        <f>H15+H19+H22</f>
        <v>75508</v>
      </c>
      <c r="I12" s="129">
        <f>I15+I19+I22</f>
        <v>6068</v>
      </c>
      <c r="J12" s="129">
        <f>J15+J19+J22</f>
        <v>68693</v>
      </c>
      <c r="K12" s="129">
        <f t="shared" si="0"/>
        <v>1930514</v>
      </c>
      <c r="L12" s="129">
        <f>L15+L19+L22</f>
        <v>1995697</v>
      </c>
      <c r="M12" s="129">
        <f t="shared" si="1"/>
        <v>215452</v>
      </c>
      <c r="N12" s="265">
        <f t="shared" si="2"/>
        <v>0.12102379166912419</v>
      </c>
      <c r="O12" s="129">
        <f t="shared" si="3"/>
        <v>65183</v>
      </c>
      <c r="P12" s="265">
        <f t="shared" si="4"/>
        <v>3.3764582903827688E-2</v>
      </c>
    </row>
    <row r="13" spans="1:16">
      <c r="E13" s="263"/>
      <c r="F13" s="128"/>
      <c r="G13" s="135"/>
      <c r="H13" s="136"/>
      <c r="I13" s="136"/>
      <c r="J13" s="135"/>
      <c r="K13" s="128">
        <f t="shared" si="0"/>
        <v>0</v>
      </c>
      <c r="L13" s="128">
        <v>0</v>
      </c>
      <c r="M13" s="128">
        <f t="shared" si="1"/>
        <v>0</v>
      </c>
      <c r="N13" s="91"/>
      <c r="O13" s="128">
        <f t="shared" si="3"/>
        <v>0</v>
      </c>
      <c r="P13" s="91"/>
    </row>
    <row r="14" spans="1:16">
      <c r="A14" s="77" t="s">
        <v>670</v>
      </c>
      <c r="B14" s="77" t="s">
        <v>669</v>
      </c>
      <c r="C14" s="537" t="s">
        <v>1033</v>
      </c>
      <c r="D14" s="537"/>
      <c r="E14" s="267" t="s">
        <v>9</v>
      </c>
      <c r="F14" s="268">
        <f>1596274-18952+119410</f>
        <v>1696732</v>
      </c>
      <c r="G14" s="136"/>
      <c r="H14" s="136">
        <v>-40713</v>
      </c>
      <c r="I14" s="136">
        <v>8223</v>
      </c>
      <c r="J14" s="136">
        <v>91912</v>
      </c>
      <c r="K14" s="268">
        <f t="shared" si="0"/>
        <v>1756154</v>
      </c>
      <c r="L14" s="268">
        <v>1575232</v>
      </c>
      <c r="M14" s="268">
        <f t="shared" si="1"/>
        <v>-121500</v>
      </c>
      <c r="N14" s="157">
        <f t="shared" si="2"/>
        <v>-7.1608244554826575E-2</v>
      </c>
      <c r="O14" s="268">
        <f t="shared" si="3"/>
        <v>-180922</v>
      </c>
      <c r="P14" s="157">
        <f t="shared" si="4"/>
        <v>-0.10302171677426923</v>
      </c>
    </row>
    <row r="15" spans="1:16">
      <c r="E15" s="130" t="s">
        <v>47</v>
      </c>
      <c r="F15" s="124">
        <f>909446+70436</f>
        <v>979882</v>
      </c>
      <c r="G15" s="272"/>
      <c r="H15" s="136">
        <v>-12730</v>
      </c>
      <c r="I15" s="136">
        <v>6205</v>
      </c>
      <c r="J15" s="272">
        <v>68693</v>
      </c>
      <c r="K15" s="124">
        <f t="shared" si="0"/>
        <v>1042050</v>
      </c>
      <c r="L15" s="124">
        <v>953929</v>
      </c>
      <c r="M15" s="124">
        <f t="shared" si="1"/>
        <v>-25953</v>
      </c>
      <c r="N15" s="270">
        <f t="shared" si="2"/>
        <v>-2.6485842172833056E-2</v>
      </c>
      <c r="O15" s="124">
        <f t="shared" si="3"/>
        <v>-88121</v>
      </c>
      <c r="P15" s="270">
        <f t="shared" si="4"/>
        <v>-8.4565040065255989E-2</v>
      </c>
    </row>
    <row r="16" spans="1:16">
      <c r="E16" s="132" t="s">
        <v>395</v>
      </c>
      <c r="F16" s="124">
        <v>90000</v>
      </c>
      <c r="G16" s="135"/>
      <c r="H16" s="136"/>
      <c r="I16" s="136"/>
      <c r="J16" s="135"/>
      <c r="K16" s="124">
        <f t="shared" si="0"/>
        <v>90000</v>
      </c>
      <c r="L16" s="124">
        <v>81000</v>
      </c>
      <c r="M16" s="124">
        <f t="shared" si="1"/>
        <v>-9000</v>
      </c>
      <c r="N16" s="270">
        <f t="shared" si="2"/>
        <v>-0.1</v>
      </c>
      <c r="O16" s="124">
        <f t="shared" si="3"/>
        <v>-9000</v>
      </c>
      <c r="P16" s="270">
        <f t="shared" si="4"/>
        <v>-0.1</v>
      </c>
    </row>
    <row r="17" spans="1:16">
      <c r="E17" s="271"/>
      <c r="F17" s="128"/>
      <c r="G17" s="135"/>
      <c r="H17" s="136"/>
      <c r="I17" s="136"/>
      <c r="J17" s="135"/>
      <c r="K17" s="128">
        <f t="shared" si="0"/>
        <v>0</v>
      </c>
      <c r="L17" s="128">
        <v>0</v>
      </c>
      <c r="M17" s="128">
        <f t="shared" si="1"/>
        <v>0</v>
      </c>
      <c r="N17" s="91"/>
      <c r="O17" s="128">
        <f t="shared" si="3"/>
        <v>0</v>
      </c>
      <c r="P17" s="91"/>
    </row>
    <row r="18" spans="1:16">
      <c r="A18" s="77" t="s">
        <v>693</v>
      </c>
      <c r="B18" s="77" t="s">
        <v>669</v>
      </c>
      <c r="C18" s="537" t="s">
        <v>1033</v>
      </c>
      <c r="D18" s="537"/>
      <c r="E18" s="267" t="s">
        <v>307</v>
      </c>
      <c r="F18" s="268">
        <f>1036967+35330</f>
        <v>1072297</v>
      </c>
      <c r="G18" s="135"/>
      <c r="H18" s="136">
        <v>117356</v>
      </c>
      <c r="I18" s="136">
        <v>-183</v>
      </c>
      <c r="J18" s="135"/>
      <c r="K18" s="268">
        <f t="shared" si="0"/>
        <v>1189470</v>
      </c>
      <c r="L18" s="268">
        <v>1391255</v>
      </c>
      <c r="M18" s="268">
        <f t="shared" si="1"/>
        <v>318958</v>
      </c>
      <c r="N18" s="157">
        <f t="shared" si="2"/>
        <v>0.297453037731151</v>
      </c>
      <c r="O18" s="268">
        <f t="shared" si="3"/>
        <v>201785</v>
      </c>
      <c r="P18" s="157">
        <f t="shared" si="4"/>
        <v>0.16964278207941352</v>
      </c>
    </row>
    <row r="19" spans="1:16">
      <c r="E19" s="130" t="s">
        <v>47</v>
      </c>
      <c r="F19" s="124">
        <f>763799+26564</f>
        <v>790363</v>
      </c>
      <c r="G19" s="135"/>
      <c r="H19" s="272">
        <v>88238</v>
      </c>
      <c r="I19" s="272">
        <v>-137</v>
      </c>
      <c r="J19" s="135"/>
      <c r="K19" s="124">
        <f t="shared" si="0"/>
        <v>878464</v>
      </c>
      <c r="L19" s="124">
        <v>1031768</v>
      </c>
      <c r="M19" s="124">
        <f t="shared" si="1"/>
        <v>241405</v>
      </c>
      <c r="N19" s="270">
        <f t="shared" si="2"/>
        <v>0.3054356036403526</v>
      </c>
      <c r="O19" s="124">
        <f t="shared" si="3"/>
        <v>153304</v>
      </c>
      <c r="P19" s="270">
        <f t="shared" si="4"/>
        <v>0.17451369663412503</v>
      </c>
    </row>
    <row r="20" spans="1:16">
      <c r="E20" s="147"/>
      <c r="F20" s="136"/>
      <c r="G20" s="135"/>
      <c r="H20" s="136"/>
      <c r="I20" s="136"/>
      <c r="J20" s="135"/>
      <c r="K20" s="136">
        <f t="shared" si="0"/>
        <v>0</v>
      </c>
      <c r="L20" s="136">
        <v>0</v>
      </c>
      <c r="M20" s="136">
        <f t="shared" si="1"/>
        <v>0</v>
      </c>
      <c r="N20" s="157"/>
      <c r="O20" s="136">
        <f t="shared" si="3"/>
        <v>0</v>
      </c>
      <c r="P20" s="157"/>
    </row>
    <row r="21" spans="1:16">
      <c r="A21" s="77" t="s">
        <v>670</v>
      </c>
      <c r="B21" s="77" t="s">
        <v>669</v>
      </c>
      <c r="C21" s="537" t="s">
        <v>1033</v>
      </c>
      <c r="D21" s="537"/>
      <c r="E21" s="704" t="s">
        <v>1188</v>
      </c>
      <c r="F21" s="131">
        <v>38670</v>
      </c>
      <c r="G21" s="135"/>
      <c r="H21" s="136">
        <v>61330</v>
      </c>
      <c r="I21" s="136"/>
      <c r="J21" s="135"/>
      <c r="K21" s="131">
        <f t="shared" si="0"/>
        <v>100000</v>
      </c>
      <c r="L21" s="131">
        <v>117470</v>
      </c>
      <c r="M21" s="131">
        <f t="shared" si="1"/>
        <v>78800</v>
      </c>
      <c r="N21" s="157">
        <f t="shared" si="2"/>
        <v>2.0377553659167313</v>
      </c>
      <c r="O21" s="131">
        <f t="shared" si="3"/>
        <v>17470</v>
      </c>
      <c r="P21" s="157">
        <f t="shared" si="4"/>
        <v>0.17469999999999999</v>
      </c>
    </row>
    <row r="22" spans="1:16">
      <c r="E22" s="130" t="s">
        <v>47</v>
      </c>
      <c r="F22" s="124">
        <v>10000</v>
      </c>
      <c r="G22" s="135"/>
      <c r="H22" s="135"/>
      <c r="I22" s="136"/>
      <c r="J22" s="135"/>
      <c r="K22" s="124">
        <f t="shared" si="0"/>
        <v>10000</v>
      </c>
      <c r="L22" s="124">
        <v>10000</v>
      </c>
      <c r="M22" s="124">
        <f t="shared" si="1"/>
        <v>0</v>
      </c>
      <c r="N22" s="270">
        <f t="shared" si="2"/>
        <v>0</v>
      </c>
      <c r="O22" s="124">
        <f t="shared" si="3"/>
        <v>0</v>
      </c>
      <c r="P22" s="270">
        <f t="shared" si="4"/>
        <v>0</v>
      </c>
    </row>
    <row r="23" spans="1:16">
      <c r="E23" s="130"/>
      <c r="F23" s="124"/>
      <c r="G23" s="135"/>
      <c r="H23" s="135"/>
      <c r="I23" s="136"/>
      <c r="J23" s="135"/>
      <c r="K23" s="124">
        <f t="shared" si="0"/>
        <v>0</v>
      </c>
      <c r="L23" s="124">
        <v>0</v>
      </c>
      <c r="M23" s="124">
        <f t="shared" si="1"/>
        <v>0</v>
      </c>
      <c r="N23" s="270"/>
      <c r="O23" s="124">
        <f t="shared" si="3"/>
        <v>0</v>
      </c>
      <c r="P23" s="270"/>
    </row>
    <row r="24" spans="1:16">
      <c r="E24" s="147"/>
      <c r="F24" s="136"/>
      <c r="G24" s="135"/>
      <c r="H24" s="135"/>
      <c r="I24" s="136"/>
      <c r="J24" s="135"/>
      <c r="K24" s="136">
        <f t="shared" si="0"/>
        <v>0</v>
      </c>
      <c r="L24" s="136">
        <v>0</v>
      </c>
      <c r="M24" s="136">
        <f t="shared" si="1"/>
        <v>0</v>
      </c>
      <c r="N24" s="157"/>
      <c r="O24" s="136">
        <f t="shared" si="3"/>
        <v>0</v>
      </c>
      <c r="P24" s="157"/>
    </row>
    <row r="25" spans="1:16" s="10" customFormat="1" ht="15.6">
      <c r="A25" s="135"/>
      <c r="B25" s="135"/>
      <c r="C25" s="482"/>
      <c r="D25" s="482"/>
      <c r="E25" s="274" t="s">
        <v>99</v>
      </c>
      <c r="F25" s="260"/>
      <c r="G25" s="135"/>
      <c r="H25" s="135"/>
      <c r="I25" s="136"/>
      <c r="J25" s="135"/>
      <c r="K25" s="260">
        <f t="shared" si="0"/>
        <v>0</v>
      </c>
      <c r="L25" s="260">
        <v>0</v>
      </c>
      <c r="M25" s="260">
        <f t="shared" si="1"/>
        <v>0</v>
      </c>
      <c r="N25" s="275"/>
      <c r="O25" s="260">
        <f t="shared" si="3"/>
        <v>0</v>
      </c>
      <c r="P25" s="275"/>
    </row>
    <row r="26" spans="1:16" s="10" customFormat="1">
      <c r="A26" s="135"/>
      <c r="B26" s="135"/>
      <c r="C26" s="482"/>
      <c r="D26" s="482"/>
      <c r="E26" s="147"/>
      <c r="F26" s="136"/>
      <c r="G26" s="135"/>
      <c r="H26" s="135"/>
      <c r="I26" s="136"/>
      <c r="J26" s="135"/>
      <c r="K26" s="136">
        <f t="shared" si="0"/>
        <v>0</v>
      </c>
      <c r="L26" s="136">
        <v>0</v>
      </c>
      <c r="M26" s="136">
        <f t="shared" si="1"/>
        <v>0</v>
      </c>
      <c r="N26" s="157"/>
      <c r="O26" s="136">
        <f t="shared" si="3"/>
        <v>0</v>
      </c>
      <c r="P26" s="157"/>
    </row>
    <row r="27" spans="1:16" s="10" customFormat="1">
      <c r="A27" s="135"/>
      <c r="B27" s="135"/>
      <c r="C27" s="482"/>
      <c r="D27" s="482"/>
      <c r="E27" s="261" t="s">
        <v>98</v>
      </c>
      <c r="F27" s="127">
        <f>+F34+F37+F40+F42+F47+F50+F55+F58+F61+F66</f>
        <v>7219817</v>
      </c>
      <c r="G27" s="127">
        <f>+G34+G37+G40+G42+G47+G50+G55+G58+G61+G66</f>
        <v>0</v>
      </c>
      <c r="H27" s="127">
        <f>+H34+H37+H40+H42+H47+H50+H53+H55+H57+H60+H66</f>
        <v>82364</v>
      </c>
      <c r="I27" s="127">
        <f>+I34+I37+I40+I42+I47+I50+I53+I55+I57+I61+I66</f>
        <v>297729</v>
      </c>
      <c r="J27" s="127">
        <f>+J34+J37+J40+J42+J47+J50+J55+J58+J61+J66</f>
        <v>287998</v>
      </c>
      <c r="K27" s="127">
        <f t="shared" si="0"/>
        <v>7887908</v>
      </c>
      <c r="L27" s="127">
        <f>+L34+L37+L40+L42+L47+L50+L55+L58+L61+L63+L66+L53</f>
        <v>7988706</v>
      </c>
      <c r="M27" s="127">
        <f t="shared" si="1"/>
        <v>768889</v>
      </c>
      <c r="N27" s="160">
        <f t="shared" si="2"/>
        <v>0.10649702063085532</v>
      </c>
      <c r="O27" s="127">
        <f t="shared" si="3"/>
        <v>100798</v>
      </c>
      <c r="P27" s="160">
        <f t="shared" si="4"/>
        <v>1.2778800158419697E-2</v>
      </c>
    </row>
    <row r="28" spans="1:16" s="10" customFormat="1">
      <c r="A28" s="135"/>
      <c r="B28" s="135"/>
      <c r="C28" s="482"/>
      <c r="D28" s="482"/>
      <c r="E28" s="262" t="s">
        <v>359</v>
      </c>
      <c r="F28" s="128">
        <v>34700</v>
      </c>
      <c r="G28" s="135"/>
      <c r="H28" s="135"/>
      <c r="I28" s="136"/>
      <c r="J28" s="135"/>
      <c r="K28" s="128">
        <f t="shared" si="0"/>
        <v>34700</v>
      </c>
      <c r="L28" s="128">
        <v>34700</v>
      </c>
      <c r="M28" s="128">
        <f t="shared" si="1"/>
        <v>0</v>
      </c>
      <c r="N28" s="91">
        <f t="shared" si="2"/>
        <v>0</v>
      </c>
      <c r="O28" s="128">
        <f t="shared" si="3"/>
        <v>0</v>
      </c>
      <c r="P28" s="91">
        <f t="shared" si="4"/>
        <v>0</v>
      </c>
    </row>
    <row r="29" spans="1:16" s="10" customFormat="1">
      <c r="A29" s="135"/>
      <c r="B29" s="135"/>
      <c r="C29" s="482"/>
      <c r="D29" s="482"/>
      <c r="E29" s="261" t="s">
        <v>44</v>
      </c>
      <c r="F29" s="127">
        <f>F30+F31</f>
        <v>7219817</v>
      </c>
      <c r="G29" s="127">
        <f>G30+G31</f>
        <v>0</v>
      </c>
      <c r="H29" s="127">
        <f>H30+H31</f>
        <v>82364</v>
      </c>
      <c r="I29" s="127">
        <f>I30+I31</f>
        <v>297729</v>
      </c>
      <c r="J29" s="127">
        <f>J30+J31</f>
        <v>287998</v>
      </c>
      <c r="K29" s="127">
        <f t="shared" si="0"/>
        <v>7887908</v>
      </c>
      <c r="L29" s="127">
        <f>L30+L31</f>
        <v>7988706</v>
      </c>
      <c r="M29" s="127">
        <f t="shared" si="1"/>
        <v>768889</v>
      </c>
      <c r="N29" s="160">
        <f t="shared" si="2"/>
        <v>0.10649702063085532</v>
      </c>
      <c r="O29" s="127">
        <f t="shared" si="3"/>
        <v>100798</v>
      </c>
      <c r="P29" s="160">
        <f t="shared" si="4"/>
        <v>1.2778800158419697E-2</v>
      </c>
    </row>
    <row r="30" spans="1:16" s="10" customFormat="1">
      <c r="A30" s="135"/>
      <c r="B30" s="135"/>
      <c r="C30" s="482"/>
      <c r="D30" s="482"/>
      <c r="E30" s="262" t="s">
        <v>45</v>
      </c>
      <c r="F30" s="128">
        <v>75000</v>
      </c>
      <c r="G30" s="135"/>
      <c r="H30" s="138">
        <v>6500</v>
      </c>
      <c r="I30" s="138"/>
      <c r="J30" s="135"/>
      <c r="K30" s="128">
        <f t="shared" si="0"/>
        <v>81500</v>
      </c>
      <c r="L30" s="128">
        <v>68000</v>
      </c>
      <c r="M30" s="128">
        <f t="shared" si="1"/>
        <v>-7000</v>
      </c>
      <c r="N30" s="91">
        <f t="shared" si="2"/>
        <v>-9.3333333333333338E-2</v>
      </c>
      <c r="O30" s="128">
        <f t="shared" si="3"/>
        <v>-13500</v>
      </c>
      <c r="P30" s="91">
        <f t="shared" si="4"/>
        <v>-0.16564417177914109</v>
      </c>
    </row>
    <row r="31" spans="1:16" s="10" customFormat="1">
      <c r="A31" s="135"/>
      <c r="B31" s="135"/>
      <c r="C31" s="482"/>
      <c r="D31" s="482"/>
      <c r="E31" s="263" t="s">
        <v>46</v>
      </c>
      <c r="F31" s="128">
        <f>F27-F30</f>
        <v>7144817</v>
      </c>
      <c r="G31" s="128">
        <f>G27-G30</f>
        <v>0</v>
      </c>
      <c r="H31" s="128">
        <f>H27-H30</f>
        <v>75864</v>
      </c>
      <c r="I31" s="128">
        <f>I27-I30</f>
        <v>297729</v>
      </c>
      <c r="J31" s="128">
        <f>J27-J30</f>
        <v>287998</v>
      </c>
      <c r="K31" s="128">
        <f t="shared" si="0"/>
        <v>7806408</v>
      </c>
      <c r="L31" s="128">
        <f>L27-L30</f>
        <v>7920706</v>
      </c>
      <c r="M31" s="128">
        <f t="shared" si="1"/>
        <v>775889</v>
      </c>
      <c r="N31" s="91">
        <f t="shared" si="2"/>
        <v>0.10859466379614761</v>
      </c>
      <c r="O31" s="128">
        <f t="shared" si="3"/>
        <v>114298</v>
      </c>
      <c r="P31" s="91">
        <f t="shared" si="4"/>
        <v>1.4641561137977929E-2</v>
      </c>
    </row>
    <row r="32" spans="1:16" s="10" customFormat="1">
      <c r="A32" s="135"/>
      <c r="B32" s="135"/>
      <c r="C32" s="482"/>
      <c r="D32" s="482"/>
      <c r="E32" s="264" t="s">
        <v>718</v>
      </c>
      <c r="F32" s="129">
        <f>F38+F48+F51+F56+F59+F67+F35</f>
        <v>3735938</v>
      </c>
      <c r="G32" s="135"/>
      <c r="H32" s="129">
        <f>H38+H48+H51+H58+H61+H69+H35</f>
        <v>14358</v>
      </c>
      <c r="I32" s="129">
        <f>I38+I48+I51+I58+I35+I67</f>
        <v>-43401</v>
      </c>
      <c r="J32" s="129">
        <f>J38+J48+J51+J56+J59+J67+J35</f>
        <v>215245</v>
      </c>
      <c r="K32" s="129">
        <f t="shared" si="0"/>
        <v>3922140</v>
      </c>
      <c r="L32" s="129">
        <f>SUM(L35+L38+L48+L51+L56+L59+L64+L67)</f>
        <v>4295859</v>
      </c>
      <c r="M32" s="129">
        <f t="shared" si="1"/>
        <v>559921</v>
      </c>
      <c r="N32" s="265">
        <f t="shared" si="2"/>
        <v>0.14987427521548805</v>
      </c>
      <c r="O32" s="129">
        <f t="shared" si="3"/>
        <v>373719</v>
      </c>
      <c r="P32" s="265">
        <f t="shared" si="4"/>
        <v>9.5284462053878749E-2</v>
      </c>
    </row>
    <row r="33" spans="1:16" s="10" customFormat="1">
      <c r="A33" s="135"/>
      <c r="B33" s="135"/>
      <c r="C33" s="482"/>
      <c r="D33" s="482"/>
      <c r="E33" s="276"/>
      <c r="F33" s="277"/>
      <c r="G33" s="135"/>
      <c r="H33" s="136"/>
      <c r="I33" s="136"/>
      <c r="J33" s="135"/>
      <c r="K33" s="277">
        <f t="shared" si="0"/>
        <v>0</v>
      </c>
      <c r="L33" s="277">
        <v>0</v>
      </c>
      <c r="M33" s="277">
        <f t="shared" si="1"/>
        <v>0</v>
      </c>
      <c r="N33" s="278"/>
      <c r="O33" s="277">
        <f t="shared" si="3"/>
        <v>0</v>
      </c>
      <c r="P33" s="278"/>
    </row>
    <row r="34" spans="1:16" s="10" customFormat="1">
      <c r="A34" s="135" t="s">
        <v>693</v>
      </c>
      <c r="B34" s="135" t="s">
        <v>99</v>
      </c>
      <c r="C34" s="537" t="s">
        <v>1033</v>
      </c>
      <c r="D34" s="537"/>
      <c r="E34" s="273" t="s">
        <v>610</v>
      </c>
      <c r="F34" s="131">
        <f>716919+204181+349</f>
        <v>921449</v>
      </c>
      <c r="G34" s="136"/>
      <c r="H34" s="131">
        <v>24000</v>
      </c>
      <c r="I34" s="131">
        <v>-2463</v>
      </c>
      <c r="J34" s="136"/>
      <c r="K34" s="131">
        <f t="shared" si="0"/>
        <v>942986</v>
      </c>
      <c r="L34" s="131">
        <v>959296</v>
      </c>
      <c r="M34" s="131">
        <f t="shared" si="1"/>
        <v>37847</v>
      </c>
      <c r="N34" s="157">
        <f t="shared" si="2"/>
        <v>4.107335294736876E-2</v>
      </c>
      <c r="O34" s="131">
        <f t="shared" si="3"/>
        <v>16310</v>
      </c>
      <c r="P34" s="157">
        <f t="shared" si="4"/>
        <v>1.7296121045275326E-2</v>
      </c>
    </row>
    <row r="35" spans="1:16" s="10" customFormat="1">
      <c r="A35" s="135"/>
      <c r="B35" s="135"/>
      <c r="C35" s="482"/>
      <c r="D35" s="482"/>
      <c r="E35" s="130" t="s">
        <v>47</v>
      </c>
      <c r="F35" s="124">
        <f>520630+152602+261</f>
        <v>673493</v>
      </c>
      <c r="G35" s="272"/>
      <c r="H35" s="124">
        <v>17937</v>
      </c>
      <c r="I35" s="124">
        <v>-1841</v>
      </c>
      <c r="J35" s="272"/>
      <c r="K35" s="124">
        <f t="shared" si="0"/>
        <v>689589</v>
      </c>
      <c r="L35" s="124">
        <v>703296</v>
      </c>
      <c r="M35" s="124">
        <f t="shared" si="1"/>
        <v>29803</v>
      </c>
      <c r="N35" s="270">
        <f t="shared" si="2"/>
        <v>4.4251387913460123E-2</v>
      </c>
      <c r="O35" s="124">
        <f t="shared" si="3"/>
        <v>13707</v>
      </c>
      <c r="P35" s="270">
        <f t="shared" si="4"/>
        <v>1.9877057203638689E-2</v>
      </c>
    </row>
    <row r="36" spans="1:16" s="266" customFormat="1">
      <c r="A36" s="513"/>
      <c r="B36" s="513"/>
      <c r="C36" s="513"/>
      <c r="D36" s="513"/>
      <c r="E36" s="147"/>
      <c r="F36" s="136"/>
      <c r="G36" s="513"/>
      <c r="H36" s="279"/>
      <c r="I36" s="279"/>
      <c r="J36" s="513"/>
      <c r="K36" s="136">
        <f t="shared" si="0"/>
        <v>0</v>
      </c>
      <c r="L36" s="136">
        <v>0</v>
      </c>
      <c r="M36" s="136">
        <f t="shared" si="1"/>
        <v>0</v>
      </c>
      <c r="N36" s="157"/>
      <c r="O36" s="136">
        <f t="shared" si="3"/>
        <v>0</v>
      </c>
      <c r="P36" s="157"/>
    </row>
    <row r="37" spans="1:16" s="10" customFormat="1">
      <c r="A37" s="135" t="s">
        <v>670</v>
      </c>
      <c r="B37" s="135" t="s">
        <v>99</v>
      </c>
      <c r="C37" s="537"/>
      <c r="D37" s="537"/>
      <c r="E37" s="104" t="s">
        <v>611</v>
      </c>
      <c r="F37" s="136">
        <f>4060226+266064+80000+45664</f>
        <v>4451954</v>
      </c>
      <c r="G37" s="135"/>
      <c r="H37" s="136">
        <f>57012+8232</f>
        <v>65244</v>
      </c>
      <c r="I37" s="136">
        <v>131012</v>
      </c>
      <c r="J37" s="135">
        <v>253060</v>
      </c>
      <c r="K37" s="136">
        <f t="shared" si="0"/>
        <v>4901270</v>
      </c>
      <c r="L37" s="136">
        <v>4898961</v>
      </c>
      <c r="M37" s="136">
        <f t="shared" si="1"/>
        <v>447007</v>
      </c>
      <c r="N37" s="157">
        <f t="shared" si="2"/>
        <v>0.10040692244349335</v>
      </c>
      <c r="O37" s="136">
        <f t="shared" si="3"/>
        <v>-2309</v>
      </c>
      <c r="P37" s="157">
        <f t="shared" si="4"/>
        <v>-4.7110238774848153E-4</v>
      </c>
    </row>
    <row r="38" spans="1:16" s="10" customFormat="1">
      <c r="A38" s="135"/>
      <c r="B38" s="135"/>
      <c r="C38" s="482"/>
      <c r="D38" s="482"/>
      <c r="E38" s="130" t="s">
        <v>47</v>
      </c>
      <c r="F38" s="124">
        <f>2526827+33750</f>
        <v>2560577</v>
      </c>
      <c r="G38" s="135"/>
      <c r="H38" s="124">
        <v>6421</v>
      </c>
      <c r="I38" s="124">
        <v>-37210</v>
      </c>
      <c r="J38" s="135">
        <v>189133</v>
      </c>
      <c r="K38" s="124">
        <f t="shared" si="0"/>
        <v>2718921</v>
      </c>
      <c r="L38" s="124">
        <v>2974161</v>
      </c>
      <c r="M38" s="124">
        <f t="shared" si="1"/>
        <v>413584</v>
      </c>
      <c r="N38" s="270">
        <f t="shared" si="2"/>
        <v>0.16151984494119881</v>
      </c>
      <c r="O38" s="124">
        <f t="shared" si="3"/>
        <v>255240</v>
      </c>
      <c r="P38" s="270">
        <f t="shared" si="4"/>
        <v>9.3875474866684253E-2</v>
      </c>
    </row>
    <row r="39" spans="1:16" s="10" customFormat="1">
      <c r="A39" s="135"/>
      <c r="B39" s="135"/>
      <c r="C39" s="482"/>
      <c r="D39" s="482"/>
      <c r="E39" s="147"/>
      <c r="F39" s="136"/>
      <c r="G39" s="135"/>
      <c r="H39" s="135"/>
      <c r="I39" s="136"/>
      <c r="J39" s="135"/>
      <c r="K39" s="136">
        <f t="shared" si="0"/>
        <v>0</v>
      </c>
      <c r="L39" s="136">
        <v>0</v>
      </c>
      <c r="M39" s="136">
        <f t="shared" si="1"/>
        <v>0</v>
      </c>
      <c r="N39" s="157"/>
      <c r="O39" s="136">
        <f t="shared" si="3"/>
        <v>0</v>
      </c>
      <c r="P39" s="157"/>
    </row>
    <row r="40" spans="1:16" s="10" customFormat="1">
      <c r="A40" s="135" t="s">
        <v>670</v>
      </c>
      <c r="B40" s="135" t="s">
        <v>99</v>
      </c>
      <c r="C40" s="537" t="s">
        <v>1033</v>
      </c>
      <c r="D40" s="537" t="s">
        <v>1020</v>
      </c>
      <c r="E40" s="273" t="s">
        <v>310</v>
      </c>
      <c r="F40" s="131">
        <v>265100</v>
      </c>
      <c r="G40" s="135"/>
      <c r="H40" s="135"/>
      <c r="I40" s="136"/>
      <c r="J40" s="135"/>
      <c r="K40" s="131">
        <f t="shared" si="0"/>
        <v>265100</v>
      </c>
      <c r="L40" s="131">
        <v>265100</v>
      </c>
      <c r="M40" s="131">
        <f t="shared" si="1"/>
        <v>0</v>
      </c>
      <c r="N40" s="157">
        <f t="shared" si="2"/>
        <v>0</v>
      </c>
      <c r="O40" s="131">
        <f t="shared" si="3"/>
        <v>0</v>
      </c>
      <c r="P40" s="157">
        <f t="shared" si="4"/>
        <v>0</v>
      </c>
    </row>
    <row r="41" spans="1:16" s="10" customFormat="1">
      <c r="A41" s="135"/>
      <c r="B41" s="135"/>
      <c r="C41" s="482"/>
      <c r="D41" s="482"/>
      <c r="E41" s="147"/>
      <c r="F41" s="136"/>
      <c r="G41" s="135"/>
      <c r="H41" s="135"/>
      <c r="I41" s="136"/>
      <c r="J41" s="135"/>
      <c r="K41" s="136">
        <f t="shared" si="0"/>
        <v>0</v>
      </c>
      <c r="L41" s="136">
        <v>0</v>
      </c>
      <c r="M41" s="136">
        <f t="shared" si="1"/>
        <v>0</v>
      </c>
      <c r="N41" s="157"/>
      <c r="O41" s="136">
        <f t="shared" si="3"/>
        <v>0</v>
      </c>
      <c r="P41" s="157"/>
    </row>
    <row r="42" spans="1:16" s="10" customFormat="1">
      <c r="A42" s="135" t="s">
        <v>670</v>
      </c>
      <c r="B42" s="135" t="s">
        <v>99</v>
      </c>
      <c r="C42" s="537" t="s">
        <v>1033</v>
      </c>
      <c r="D42" s="537"/>
      <c r="E42" s="280" t="s">
        <v>311</v>
      </c>
      <c r="F42" s="281">
        <v>329700</v>
      </c>
      <c r="G42" s="135"/>
      <c r="H42" s="135"/>
      <c r="I42" s="136">
        <v>180000</v>
      </c>
      <c r="J42" s="135"/>
      <c r="K42" s="281">
        <f t="shared" si="0"/>
        <v>509700</v>
      </c>
      <c r="L42" s="281">
        <v>299730</v>
      </c>
      <c r="M42" s="281">
        <f t="shared" si="1"/>
        <v>-29970</v>
      </c>
      <c r="N42" s="282">
        <f t="shared" si="2"/>
        <v>-9.0900818926296631E-2</v>
      </c>
      <c r="O42" s="281">
        <f t="shared" si="3"/>
        <v>-209970</v>
      </c>
      <c r="P42" s="282">
        <f t="shared" si="4"/>
        <v>-0.41194820482636846</v>
      </c>
    </row>
    <row r="43" spans="1:16" s="10" customFormat="1">
      <c r="A43" s="135"/>
      <c r="B43" s="135"/>
      <c r="C43" s="482"/>
      <c r="D43" s="482"/>
      <c r="E43" s="283" t="s">
        <v>612</v>
      </c>
      <c r="F43" s="125"/>
      <c r="G43" s="135"/>
      <c r="H43" s="135"/>
      <c r="I43" s="136"/>
      <c r="J43" s="135"/>
      <c r="K43" s="125">
        <f t="shared" si="0"/>
        <v>0</v>
      </c>
      <c r="L43" s="125">
        <v>0</v>
      </c>
      <c r="M43" s="125">
        <f t="shared" si="1"/>
        <v>0</v>
      </c>
      <c r="N43" s="284"/>
      <c r="O43" s="125">
        <f t="shared" si="3"/>
        <v>0</v>
      </c>
      <c r="P43" s="284"/>
    </row>
    <row r="44" spans="1:16" s="10" customFormat="1" ht="30.6">
      <c r="A44" s="135"/>
      <c r="B44" s="135"/>
      <c r="C44" s="482"/>
      <c r="D44" s="482"/>
      <c r="E44" s="285" t="s">
        <v>613</v>
      </c>
      <c r="F44" s="286">
        <v>10000</v>
      </c>
      <c r="G44" s="135"/>
      <c r="H44" s="135"/>
      <c r="I44" s="136"/>
      <c r="J44" s="135"/>
      <c r="K44" s="286">
        <f t="shared" si="0"/>
        <v>10000</v>
      </c>
      <c r="L44" s="286">
        <v>10000</v>
      </c>
      <c r="M44" s="286">
        <f t="shared" si="1"/>
        <v>0</v>
      </c>
      <c r="N44" s="287">
        <f t="shared" si="2"/>
        <v>0</v>
      </c>
      <c r="O44" s="286">
        <f t="shared" si="3"/>
        <v>0</v>
      </c>
      <c r="P44" s="287">
        <f t="shared" si="4"/>
        <v>0</v>
      </c>
    </row>
    <row r="45" spans="1:16" s="10" customFormat="1">
      <c r="A45" s="135"/>
      <c r="B45" s="135"/>
      <c r="C45" s="482"/>
      <c r="D45" s="482"/>
      <c r="E45" s="285" t="s">
        <v>830</v>
      </c>
      <c r="F45" s="286">
        <v>20000</v>
      </c>
      <c r="G45" s="135"/>
      <c r="H45" s="135"/>
      <c r="I45" s="136"/>
      <c r="J45" s="135"/>
      <c r="K45" s="286">
        <f t="shared" si="0"/>
        <v>20000</v>
      </c>
      <c r="L45" s="286">
        <v>20000</v>
      </c>
      <c r="M45" s="286">
        <f t="shared" si="1"/>
        <v>0</v>
      </c>
      <c r="N45" s="287">
        <f t="shared" si="2"/>
        <v>0</v>
      </c>
      <c r="O45" s="286">
        <f t="shared" si="3"/>
        <v>0</v>
      </c>
      <c r="P45" s="287">
        <f t="shared" si="4"/>
        <v>0</v>
      </c>
    </row>
    <row r="46" spans="1:16" s="10" customFormat="1">
      <c r="A46" s="135"/>
      <c r="B46" s="135"/>
      <c r="C46" s="482"/>
      <c r="D46" s="482"/>
      <c r="E46" s="147"/>
      <c r="F46" s="136"/>
      <c r="G46" s="135"/>
      <c r="H46" s="135"/>
      <c r="I46" s="136"/>
      <c r="J46" s="135"/>
      <c r="K46" s="136">
        <f t="shared" si="0"/>
        <v>0</v>
      </c>
      <c r="L46" s="136">
        <v>0</v>
      </c>
      <c r="M46" s="136">
        <f t="shared" si="1"/>
        <v>0</v>
      </c>
      <c r="N46" s="157"/>
      <c r="O46" s="136">
        <f t="shared" si="3"/>
        <v>0</v>
      </c>
      <c r="P46" s="157"/>
    </row>
    <row r="47" spans="1:16" s="10" customFormat="1">
      <c r="A47" s="135" t="s">
        <v>670</v>
      </c>
      <c r="B47" s="135" t="s">
        <v>99</v>
      </c>
      <c r="C47" s="537"/>
      <c r="D47" s="537"/>
      <c r="E47" s="288" t="s">
        <v>450</v>
      </c>
      <c r="F47" s="289">
        <v>15000</v>
      </c>
      <c r="G47" s="135"/>
      <c r="H47" s="135"/>
      <c r="I47" s="136">
        <v>-5820</v>
      </c>
      <c r="J47" s="135"/>
      <c r="K47" s="289">
        <f t="shared" si="0"/>
        <v>9180</v>
      </c>
      <c r="L47" s="289">
        <v>13000</v>
      </c>
      <c r="M47" s="289">
        <f t="shared" si="1"/>
        <v>-2000</v>
      </c>
      <c r="N47" s="282">
        <f t="shared" si="2"/>
        <v>-0.13333333333333333</v>
      </c>
      <c r="O47" s="289">
        <f t="shared" si="3"/>
        <v>3820</v>
      </c>
      <c r="P47" s="282">
        <f t="shared" si="4"/>
        <v>0.41612200435729846</v>
      </c>
    </row>
    <row r="48" spans="1:16" s="10" customFormat="1">
      <c r="A48" s="135"/>
      <c r="B48" s="135"/>
      <c r="C48" s="482"/>
      <c r="D48" s="482"/>
      <c r="E48" s="130" t="s">
        <v>47</v>
      </c>
      <c r="F48" s="124">
        <v>5000</v>
      </c>
      <c r="G48" s="135"/>
      <c r="H48" s="135"/>
      <c r="I48" s="272">
        <v>-4350</v>
      </c>
      <c r="J48" s="135"/>
      <c r="K48" s="124">
        <f t="shared" si="0"/>
        <v>650</v>
      </c>
      <c r="L48" s="507">
        <v>0</v>
      </c>
      <c r="M48" s="507">
        <f t="shared" si="1"/>
        <v>-5000</v>
      </c>
      <c r="N48" s="649">
        <f t="shared" si="2"/>
        <v>-1</v>
      </c>
      <c r="O48" s="507">
        <f t="shared" si="3"/>
        <v>-650</v>
      </c>
      <c r="P48" s="649">
        <f t="shared" si="4"/>
        <v>-1</v>
      </c>
    </row>
    <row r="49" spans="1:16" s="10" customFormat="1">
      <c r="A49" s="135"/>
      <c r="B49" s="135"/>
      <c r="C49" s="482"/>
      <c r="D49" s="482"/>
      <c r="E49" s="147"/>
      <c r="F49" s="136"/>
      <c r="G49" s="135"/>
      <c r="H49" s="135"/>
      <c r="I49" s="136"/>
      <c r="J49" s="135"/>
      <c r="K49" s="136">
        <f t="shared" si="0"/>
        <v>0</v>
      </c>
      <c r="L49" s="508">
        <v>0</v>
      </c>
      <c r="M49" s="508">
        <f t="shared" si="1"/>
        <v>0</v>
      </c>
      <c r="N49" s="650"/>
      <c r="O49" s="508">
        <f t="shared" si="3"/>
        <v>0</v>
      </c>
      <c r="P49" s="650"/>
    </row>
    <row r="50" spans="1:16" s="10" customFormat="1">
      <c r="A50" s="135" t="s">
        <v>670</v>
      </c>
      <c r="B50" s="135" t="s">
        <v>99</v>
      </c>
      <c r="C50" s="537" t="s">
        <v>1033</v>
      </c>
      <c r="D50" s="537"/>
      <c r="E50" s="267" t="s">
        <v>312</v>
      </c>
      <c r="F50" s="268">
        <v>415000</v>
      </c>
      <c r="G50" s="135"/>
      <c r="H50" s="268">
        <f>-13380-20000</f>
        <v>-33380</v>
      </c>
      <c r="I50" s="268"/>
      <c r="J50" s="135"/>
      <c r="K50" s="268">
        <f t="shared" si="0"/>
        <v>381620</v>
      </c>
      <c r="L50" s="509">
        <v>406800</v>
      </c>
      <c r="M50" s="509">
        <f t="shared" si="1"/>
        <v>-8200</v>
      </c>
      <c r="N50" s="650">
        <f t="shared" si="2"/>
        <v>-1.9759036144578312E-2</v>
      </c>
      <c r="O50" s="509">
        <f t="shared" si="3"/>
        <v>25180</v>
      </c>
      <c r="P50" s="650">
        <f t="shared" si="4"/>
        <v>6.5981866778470732E-2</v>
      </c>
    </row>
    <row r="51" spans="1:16" s="10" customFormat="1">
      <c r="A51" s="135"/>
      <c r="B51" s="135"/>
      <c r="C51" s="482"/>
      <c r="D51" s="482"/>
      <c r="E51" s="130" t="s">
        <v>47</v>
      </c>
      <c r="F51" s="124">
        <v>18600</v>
      </c>
      <c r="G51" s="135"/>
      <c r="H51" s="124">
        <v>-10000</v>
      </c>
      <c r="I51" s="124"/>
      <c r="J51" s="135"/>
      <c r="K51" s="124">
        <f t="shared" si="0"/>
        <v>8600</v>
      </c>
      <c r="L51" s="507">
        <v>10164</v>
      </c>
      <c r="M51" s="507">
        <f t="shared" si="1"/>
        <v>-8436</v>
      </c>
      <c r="N51" s="649">
        <f t="shared" si="2"/>
        <v>-0.4535483870967742</v>
      </c>
      <c r="O51" s="507">
        <f t="shared" si="3"/>
        <v>1564</v>
      </c>
      <c r="P51" s="649">
        <f t="shared" si="4"/>
        <v>0.18186046511627907</v>
      </c>
    </row>
    <row r="52" spans="1:16" s="10" customFormat="1">
      <c r="A52" s="135"/>
      <c r="B52" s="135"/>
      <c r="C52" s="482"/>
      <c r="D52" s="482"/>
      <c r="E52" s="147"/>
      <c r="F52" s="136"/>
      <c r="G52" s="135"/>
      <c r="H52" s="124"/>
      <c r="I52" s="124"/>
      <c r="J52" s="135"/>
      <c r="K52" s="136">
        <f t="shared" si="0"/>
        <v>0</v>
      </c>
      <c r="L52" s="136">
        <v>0</v>
      </c>
      <c r="M52" s="136">
        <f t="shared" si="1"/>
        <v>0</v>
      </c>
      <c r="N52" s="157"/>
      <c r="O52" s="136">
        <f t="shared" si="3"/>
        <v>0</v>
      </c>
      <c r="P52" s="157"/>
    </row>
    <row r="53" spans="1:16" s="10" customFormat="1">
      <c r="A53" s="135" t="s">
        <v>672</v>
      </c>
      <c r="B53" s="135" t="s">
        <v>99</v>
      </c>
      <c r="C53" s="537"/>
      <c r="D53" s="537"/>
      <c r="E53" s="267" t="s">
        <v>831</v>
      </c>
      <c r="F53" s="136"/>
      <c r="G53" s="135"/>
      <c r="H53" s="268">
        <v>20000</v>
      </c>
      <c r="I53" s="268"/>
      <c r="J53" s="135"/>
      <c r="K53" s="268">
        <f t="shared" si="0"/>
        <v>20000</v>
      </c>
      <c r="L53" s="136">
        <v>25000</v>
      </c>
      <c r="M53" s="136">
        <f t="shared" si="1"/>
        <v>25000</v>
      </c>
      <c r="N53" s="157"/>
      <c r="O53" s="136">
        <f t="shared" si="3"/>
        <v>5000</v>
      </c>
      <c r="P53" s="157">
        <f t="shared" si="4"/>
        <v>0.25</v>
      </c>
    </row>
    <row r="54" spans="1:16" s="10" customFormat="1">
      <c r="A54" s="135"/>
      <c r="B54" s="135"/>
      <c r="C54" s="482"/>
      <c r="D54" s="482"/>
      <c r="E54" s="147"/>
      <c r="F54" s="136"/>
      <c r="G54" s="135"/>
      <c r="H54" s="136"/>
      <c r="I54" s="136"/>
      <c r="J54" s="135"/>
      <c r="K54" s="136">
        <f t="shared" si="0"/>
        <v>0</v>
      </c>
      <c r="L54" s="136">
        <v>0</v>
      </c>
      <c r="M54" s="136">
        <f t="shared" si="1"/>
        <v>0</v>
      </c>
      <c r="N54" s="157"/>
      <c r="O54" s="136">
        <f t="shared" si="3"/>
        <v>0</v>
      </c>
      <c r="P54" s="157"/>
    </row>
    <row r="55" spans="1:16" s="10" customFormat="1">
      <c r="A55" s="135" t="s">
        <v>670</v>
      </c>
      <c r="B55" s="135" t="s">
        <v>99</v>
      </c>
      <c r="C55" s="537"/>
      <c r="D55" s="537"/>
      <c r="E55" s="290" t="s">
        <v>313</v>
      </c>
      <c r="F55" s="291">
        <v>19000</v>
      </c>
      <c r="G55" s="135"/>
      <c r="H55" s="268"/>
      <c r="I55" s="268"/>
      <c r="J55" s="135"/>
      <c r="K55" s="291">
        <f t="shared" si="0"/>
        <v>19000</v>
      </c>
      <c r="L55" s="291">
        <v>10000</v>
      </c>
      <c r="M55" s="291">
        <f t="shared" si="1"/>
        <v>-9000</v>
      </c>
      <c r="N55" s="282">
        <f t="shared" si="2"/>
        <v>-0.47368421052631576</v>
      </c>
      <c r="O55" s="291">
        <f t="shared" si="3"/>
        <v>-9000</v>
      </c>
      <c r="P55" s="282">
        <f t="shared" si="4"/>
        <v>-0.47368421052631576</v>
      </c>
    </row>
    <row r="56" spans="1:16" s="10" customFormat="1">
      <c r="A56" s="135"/>
      <c r="B56" s="135"/>
      <c r="C56" s="482"/>
      <c r="D56" s="482"/>
      <c r="E56" s="130" t="s">
        <v>47</v>
      </c>
      <c r="F56" s="124">
        <v>4000</v>
      </c>
      <c r="G56" s="135"/>
      <c r="H56" s="136"/>
      <c r="I56" s="136"/>
      <c r="J56" s="135"/>
      <c r="K56" s="124">
        <f t="shared" si="0"/>
        <v>4000</v>
      </c>
      <c r="L56" s="124">
        <v>4000</v>
      </c>
      <c r="M56" s="124">
        <f t="shared" si="1"/>
        <v>0</v>
      </c>
      <c r="N56" s="270">
        <f t="shared" si="2"/>
        <v>0</v>
      </c>
      <c r="O56" s="124">
        <f t="shared" si="3"/>
        <v>0</v>
      </c>
      <c r="P56" s="270">
        <f t="shared" si="4"/>
        <v>0</v>
      </c>
    </row>
    <row r="57" spans="1:16" s="10" customFormat="1">
      <c r="A57" s="135"/>
      <c r="B57" s="135"/>
      <c r="C57" s="482"/>
      <c r="D57" s="482"/>
      <c r="E57" s="130"/>
      <c r="F57" s="124"/>
      <c r="G57" s="135"/>
      <c r="H57" s="136"/>
      <c r="I57" s="136"/>
      <c r="J57" s="135"/>
      <c r="K57" s="124">
        <f t="shared" si="0"/>
        <v>0</v>
      </c>
      <c r="L57" s="124">
        <v>0</v>
      </c>
      <c r="M57" s="124">
        <f t="shared" si="1"/>
        <v>0</v>
      </c>
      <c r="N57" s="270"/>
      <c r="O57" s="124">
        <f t="shared" si="3"/>
        <v>0</v>
      </c>
      <c r="P57" s="270"/>
    </row>
    <row r="58" spans="1:16" s="10" customFormat="1">
      <c r="A58" s="135" t="s">
        <v>693</v>
      </c>
      <c r="B58" s="135" t="s">
        <v>99</v>
      </c>
      <c r="C58" s="537"/>
      <c r="D58" s="537"/>
      <c r="E58" s="104" t="s">
        <v>314</v>
      </c>
      <c r="F58" s="136">
        <v>63840</v>
      </c>
      <c r="G58" s="135"/>
      <c r="H58" s="136"/>
      <c r="I58" s="136"/>
      <c r="J58" s="135"/>
      <c r="K58" s="136">
        <f t="shared" si="0"/>
        <v>63840</v>
      </c>
      <c r="L58" s="136">
        <v>63840</v>
      </c>
      <c r="M58" s="136">
        <f t="shared" si="1"/>
        <v>0</v>
      </c>
      <c r="N58" s="157">
        <f t="shared" si="2"/>
        <v>0</v>
      </c>
      <c r="O58" s="136">
        <f t="shared" si="3"/>
        <v>0</v>
      </c>
      <c r="P58" s="157">
        <f t="shared" si="4"/>
        <v>0</v>
      </c>
    </row>
    <row r="59" spans="1:16" s="10" customFormat="1">
      <c r="A59" s="135"/>
      <c r="B59" s="135"/>
      <c r="C59" s="482"/>
      <c r="D59" s="482"/>
      <c r="E59" s="130" t="s">
        <v>47</v>
      </c>
      <c r="F59" s="124">
        <v>48000</v>
      </c>
      <c r="G59" s="135"/>
      <c r="H59" s="136"/>
      <c r="I59" s="136"/>
      <c r="J59" s="135"/>
      <c r="K59" s="124">
        <f t="shared" si="0"/>
        <v>48000</v>
      </c>
      <c r="L59" s="124">
        <v>48000</v>
      </c>
      <c r="M59" s="124">
        <f t="shared" si="1"/>
        <v>0</v>
      </c>
      <c r="N59" s="270">
        <f t="shared" si="2"/>
        <v>0</v>
      </c>
      <c r="O59" s="124">
        <f t="shared" si="3"/>
        <v>0</v>
      </c>
      <c r="P59" s="270">
        <f t="shared" si="4"/>
        <v>0</v>
      </c>
    </row>
    <row r="60" spans="1:16" s="10" customFormat="1">
      <c r="A60" s="135"/>
      <c r="B60" s="135"/>
      <c r="C60" s="482"/>
      <c r="D60" s="482"/>
      <c r="E60" s="147"/>
      <c r="F60" s="136"/>
      <c r="G60" s="135"/>
      <c r="H60" s="136"/>
      <c r="I60" s="136"/>
      <c r="J60" s="135"/>
      <c r="K60" s="136">
        <f t="shared" si="0"/>
        <v>0</v>
      </c>
      <c r="L60" s="136">
        <v>0</v>
      </c>
      <c r="M60" s="136">
        <f t="shared" si="1"/>
        <v>0</v>
      </c>
      <c r="N60" s="157"/>
      <c r="O60" s="136">
        <f t="shared" si="3"/>
        <v>0</v>
      </c>
      <c r="P60" s="157"/>
    </row>
    <row r="61" spans="1:16" s="10" customFormat="1">
      <c r="A61" s="135" t="s">
        <v>670</v>
      </c>
      <c r="B61" s="135" t="s">
        <v>99</v>
      </c>
      <c r="C61" s="537"/>
      <c r="D61" s="537"/>
      <c r="E61" s="267" t="s">
        <v>432</v>
      </c>
      <c r="F61" s="268">
        <v>40000</v>
      </c>
      <c r="G61" s="135"/>
      <c r="H61" s="136"/>
      <c r="I61" s="136">
        <v>-5000</v>
      </c>
      <c r="J61" s="135"/>
      <c r="K61" s="268">
        <f t="shared" si="0"/>
        <v>35000</v>
      </c>
      <c r="L61" s="268">
        <v>34000</v>
      </c>
      <c r="M61" s="268">
        <f t="shared" si="1"/>
        <v>-6000</v>
      </c>
      <c r="N61" s="157">
        <f t="shared" si="2"/>
        <v>-0.15</v>
      </c>
      <c r="O61" s="268">
        <f t="shared" si="3"/>
        <v>-1000</v>
      </c>
      <c r="P61" s="157">
        <f t="shared" si="4"/>
        <v>-2.8571428571428571E-2</v>
      </c>
    </row>
    <row r="62" spans="1:16" s="10" customFormat="1">
      <c r="A62" s="135"/>
      <c r="B62" s="135"/>
      <c r="C62" s="537"/>
      <c r="D62" s="537"/>
      <c r="E62" s="267"/>
      <c r="F62" s="268"/>
      <c r="G62" s="135"/>
      <c r="H62" s="136"/>
      <c r="I62" s="136"/>
      <c r="J62" s="135"/>
      <c r="K62" s="268">
        <f t="shared" si="0"/>
        <v>0</v>
      </c>
      <c r="L62" s="268">
        <v>0</v>
      </c>
      <c r="M62" s="268">
        <f t="shared" si="1"/>
        <v>0</v>
      </c>
      <c r="N62" s="157"/>
      <c r="O62" s="268">
        <f t="shared" si="3"/>
        <v>0</v>
      </c>
      <c r="P62" s="157"/>
    </row>
    <row r="63" spans="1:16" s="10" customFormat="1">
      <c r="A63" s="135" t="s">
        <v>670</v>
      </c>
      <c r="B63" s="135" t="s">
        <v>99</v>
      </c>
      <c r="C63" s="537" t="s">
        <v>1033</v>
      </c>
      <c r="D63" s="537"/>
      <c r="E63" s="603" t="s">
        <v>1050</v>
      </c>
      <c r="F63" s="268"/>
      <c r="G63" s="135"/>
      <c r="H63" s="136"/>
      <c r="I63" s="136"/>
      <c r="J63" s="135"/>
      <c r="K63" s="268">
        <f t="shared" si="0"/>
        <v>0</v>
      </c>
      <c r="L63" s="268">
        <v>260000</v>
      </c>
      <c r="M63" s="268">
        <f t="shared" si="1"/>
        <v>260000</v>
      </c>
      <c r="N63" s="157"/>
      <c r="O63" s="268">
        <f t="shared" si="3"/>
        <v>260000</v>
      </c>
      <c r="P63" s="157"/>
    </row>
    <row r="64" spans="1:16" s="10" customFormat="1">
      <c r="A64" s="135"/>
      <c r="B64" s="135"/>
      <c r="C64" s="482"/>
      <c r="D64" s="482"/>
      <c r="E64" s="130" t="s">
        <v>47</v>
      </c>
      <c r="F64" s="268"/>
      <c r="G64" s="135"/>
      <c r="H64" s="136"/>
      <c r="I64" s="136"/>
      <c r="J64" s="135"/>
      <c r="K64" s="268">
        <f t="shared" si="0"/>
        <v>0</v>
      </c>
      <c r="L64" s="124">
        <v>100000</v>
      </c>
      <c r="M64" s="124">
        <f t="shared" si="1"/>
        <v>100000</v>
      </c>
      <c r="N64" s="270"/>
      <c r="O64" s="124">
        <f t="shared" si="3"/>
        <v>100000</v>
      </c>
      <c r="P64" s="270"/>
    </row>
    <row r="65" spans="1:16" s="10" customFormat="1">
      <c r="A65" s="135"/>
      <c r="B65" s="135"/>
      <c r="C65" s="482"/>
      <c r="D65" s="482"/>
      <c r="E65" s="451"/>
      <c r="F65" s="268"/>
      <c r="G65" s="135"/>
      <c r="H65" s="136"/>
      <c r="I65" s="136"/>
      <c r="J65" s="135"/>
      <c r="K65" s="268">
        <f t="shared" si="0"/>
        <v>0</v>
      </c>
      <c r="L65" s="268">
        <v>0</v>
      </c>
      <c r="M65" s="268">
        <f t="shared" si="1"/>
        <v>0</v>
      </c>
      <c r="N65" s="157"/>
      <c r="O65" s="268">
        <f t="shared" si="3"/>
        <v>0</v>
      </c>
      <c r="P65" s="157"/>
    </row>
    <row r="66" spans="1:16" s="10" customFormat="1">
      <c r="A66" s="135" t="s">
        <v>670</v>
      </c>
      <c r="B66" s="135" t="s">
        <v>99</v>
      </c>
      <c r="C66" s="537" t="s">
        <v>1033</v>
      </c>
      <c r="D66" s="537" t="s">
        <v>1027</v>
      </c>
      <c r="E66" s="292" t="s">
        <v>614</v>
      </c>
      <c r="F66" s="281">
        <f>674447+5000+19327</f>
        <v>698774</v>
      </c>
      <c r="G66" s="136"/>
      <c r="H66" s="136">
        <v>6500</v>
      </c>
      <c r="I66" s="136"/>
      <c r="J66" s="136">
        <v>34938</v>
      </c>
      <c r="K66" s="281">
        <f t="shared" si="0"/>
        <v>740212</v>
      </c>
      <c r="L66" s="281">
        <v>752979</v>
      </c>
      <c r="M66" s="281">
        <f t="shared" si="1"/>
        <v>54205</v>
      </c>
      <c r="N66" s="282">
        <f t="shared" si="2"/>
        <v>7.7571575359128994E-2</v>
      </c>
      <c r="O66" s="281">
        <f t="shared" si="3"/>
        <v>12767</v>
      </c>
      <c r="P66" s="282">
        <f t="shared" si="4"/>
        <v>1.7247761452124526E-2</v>
      </c>
    </row>
    <row r="67" spans="1:16" s="293" customFormat="1">
      <c r="A67" s="550"/>
      <c r="B67" s="550"/>
      <c r="C67" s="513"/>
      <c r="D67" s="513"/>
      <c r="E67" s="130" t="s">
        <v>47</v>
      </c>
      <c r="F67" s="124">
        <f>411823+14445</f>
        <v>426268</v>
      </c>
      <c r="G67" s="272"/>
      <c r="H67" s="550"/>
      <c r="I67" s="138"/>
      <c r="J67" s="272">
        <v>26112</v>
      </c>
      <c r="K67" s="124">
        <f t="shared" si="0"/>
        <v>452380</v>
      </c>
      <c r="L67" s="124">
        <v>456238</v>
      </c>
      <c r="M67" s="124">
        <f t="shared" si="1"/>
        <v>29970</v>
      </c>
      <c r="N67" s="270">
        <f t="shared" si="2"/>
        <v>7.0307881426708074E-2</v>
      </c>
      <c r="O67" s="124">
        <f t="shared" si="3"/>
        <v>3858</v>
      </c>
      <c r="P67" s="270">
        <f t="shared" si="4"/>
        <v>8.5282284804810114E-3</v>
      </c>
    </row>
    <row r="68" spans="1:16" s="293" customFormat="1">
      <c r="A68" s="550"/>
      <c r="B68" s="550"/>
      <c r="C68" s="513"/>
      <c r="D68" s="513"/>
      <c r="E68" s="132"/>
      <c r="F68" s="124"/>
      <c r="G68" s="550"/>
      <c r="H68" s="550"/>
      <c r="I68" s="138"/>
      <c r="J68" s="550"/>
      <c r="K68" s="124">
        <f t="shared" si="0"/>
        <v>0</v>
      </c>
      <c r="L68" s="124">
        <v>0</v>
      </c>
      <c r="M68" s="124">
        <f t="shared" si="1"/>
        <v>0</v>
      </c>
      <c r="N68" s="270"/>
      <c r="O68" s="124">
        <f t="shared" si="3"/>
        <v>0</v>
      </c>
      <c r="P68" s="270"/>
    </row>
    <row r="69" spans="1:16" s="135" customFormat="1">
      <c r="C69" s="482"/>
      <c r="D69" s="482"/>
      <c r="E69" s="267"/>
      <c r="F69" s="268"/>
      <c r="I69" s="136"/>
      <c r="K69" s="268">
        <f t="shared" si="0"/>
        <v>0</v>
      </c>
      <c r="L69" s="268">
        <v>0</v>
      </c>
      <c r="M69" s="268">
        <f t="shared" si="1"/>
        <v>0</v>
      </c>
      <c r="N69" s="157"/>
      <c r="O69" s="268">
        <f t="shared" si="3"/>
        <v>0</v>
      </c>
      <c r="P69" s="157"/>
    </row>
    <row r="70" spans="1:16" s="10" customFormat="1" ht="15.6">
      <c r="A70" s="135"/>
      <c r="B70" s="135"/>
      <c r="C70" s="482"/>
      <c r="D70" s="482"/>
      <c r="E70" s="274" t="s">
        <v>609</v>
      </c>
      <c r="F70" s="260"/>
      <c r="G70" s="135"/>
      <c r="H70" s="135"/>
      <c r="I70" s="136"/>
      <c r="J70" s="135"/>
      <c r="K70" s="260">
        <f t="shared" si="0"/>
        <v>0</v>
      </c>
      <c r="L70" s="260">
        <v>0</v>
      </c>
      <c r="M70" s="260">
        <f t="shared" si="1"/>
        <v>0</v>
      </c>
      <c r="N70" s="275"/>
      <c r="O70" s="260">
        <f t="shared" si="3"/>
        <v>0</v>
      </c>
      <c r="P70" s="275"/>
    </row>
    <row r="71" spans="1:16" s="10" customFormat="1">
      <c r="A71" s="135"/>
      <c r="B71" s="135"/>
      <c r="C71" s="482"/>
      <c r="D71" s="482"/>
      <c r="E71" s="147"/>
      <c r="F71" s="136"/>
      <c r="G71" s="135"/>
      <c r="H71" s="135"/>
      <c r="I71" s="136"/>
      <c r="J71" s="135"/>
      <c r="K71" s="136">
        <f t="shared" si="0"/>
        <v>0</v>
      </c>
      <c r="L71" s="136">
        <v>0</v>
      </c>
      <c r="M71" s="136">
        <f t="shared" si="1"/>
        <v>0</v>
      </c>
      <c r="N71" s="157"/>
      <c r="O71" s="136">
        <f t="shared" si="3"/>
        <v>0</v>
      </c>
      <c r="P71" s="157"/>
    </row>
    <row r="72" spans="1:16" s="10" customFormat="1">
      <c r="A72" s="135"/>
      <c r="B72" s="136"/>
      <c r="C72" s="381"/>
      <c r="D72" s="381"/>
      <c r="E72" s="261" t="s">
        <v>98</v>
      </c>
      <c r="F72" s="127">
        <f>F80+F83+F90+F93+F95+F100+F102+F104+F111+F113+F115+F117+F122+F127+F132+F137+F142+F147+F152+F157+F191+F228+F260+F267+F162</f>
        <v>47564577</v>
      </c>
      <c r="G72" s="127">
        <f>G80+G83+G90+G93+G95+G100+G102+G104+G111+G113+G115+G117+G122+G127+G132+G137+G142+G147+G152+G157+G191+G228+G260+G267+G162</f>
        <v>0</v>
      </c>
      <c r="H72" s="127">
        <f>H80+H83+H90+H93+H95+H100+H102+H104+H111+H113+H115+H117+H122+H127+H132+H137+H142+H147+H152+H157+H191+H228+H260+H267+H162+H166</f>
        <v>18378</v>
      </c>
      <c r="I72" s="127">
        <f>I80+I83+I90+I93+I95+I100+I102+I104+I111+I113+I115+I117+I122+I127+I132+I137+I142+I147+I152+I157+I191+I228+I260+I267+I162+I166+I171+I186</f>
        <v>54711</v>
      </c>
      <c r="J72" s="127">
        <f>J80+J83+J90+J93+J95+J100+J102+J104+J111+J113+J115+J117+J122+J127+J132+J137+J142+J147+J152+J157+J191+J228+J260+J267+J162</f>
        <v>1137895</v>
      </c>
      <c r="K72" s="127">
        <f t="shared" ref="K72:K135" si="5">F72+G72+H72+J72+I72</f>
        <v>48775561</v>
      </c>
      <c r="L72" s="127">
        <f>L80+L83+L90+L93+L95+L100+L102+L104+L111+L113+L115+L117+L122+L127+L132+L137+L142+L147+L152+L157+L162+L166+L191+L228+L260+L267+L171+L176+L181+L186</f>
        <v>57785379</v>
      </c>
      <c r="M72" s="127">
        <f t="shared" ref="M72:M135" si="6">L72-F72</f>
        <v>10220802</v>
      </c>
      <c r="N72" s="160">
        <f t="shared" ref="N72:N135" si="7">M72/F72</f>
        <v>0.21488264260186735</v>
      </c>
      <c r="O72" s="127">
        <f t="shared" ref="O72:O135" si="8">L72-K72</f>
        <v>9009818</v>
      </c>
      <c r="P72" s="160">
        <f t="shared" ref="P72:P135" si="9">O72/K72</f>
        <v>0.18471992562012768</v>
      </c>
    </row>
    <row r="73" spans="1:16" s="10" customFormat="1">
      <c r="A73" s="135"/>
      <c r="B73" s="135"/>
      <c r="C73" s="482"/>
      <c r="D73" s="482"/>
      <c r="E73" s="262" t="s">
        <v>359</v>
      </c>
      <c r="F73" s="128">
        <v>842340</v>
      </c>
      <c r="G73" s="135"/>
      <c r="H73" s="136"/>
      <c r="I73" s="138">
        <v>-36700</v>
      </c>
      <c r="J73" s="136"/>
      <c r="K73" s="128">
        <f t="shared" si="5"/>
        <v>805640</v>
      </c>
      <c r="L73" s="128">
        <v>835234</v>
      </c>
      <c r="M73" s="128">
        <f t="shared" si="6"/>
        <v>-7106</v>
      </c>
      <c r="N73" s="91">
        <f t="shared" si="7"/>
        <v>-8.4360234584609541E-3</v>
      </c>
      <c r="O73" s="128">
        <f t="shared" si="8"/>
        <v>29594</v>
      </c>
      <c r="P73" s="91">
        <f t="shared" si="9"/>
        <v>3.6733528623206398E-2</v>
      </c>
    </row>
    <row r="74" spans="1:16" s="10" customFormat="1">
      <c r="A74" s="135"/>
      <c r="B74" s="135"/>
      <c r="C74" s="482"/>
      <c r="D74" s="482"/>
      <c r="E74" s="261" t="s">
        <v>44</v>
      </c>
      <c r="F74" s="127">
        <f>F75+F77+F76</f>
        <v>47564577</v>
      </c>
      <c r="G74" s="127">
        <f>G75+G77+G76</f>
        <v>0</v>
      </c>
      <c r="H74" s="127">
        <f>H75+H77+H76</f>
        <v>18378</v>
      </c>
      <c r="I74" s="127">
        <f>I75+I77+I76</f>
        <v>54711</v>
      </c>
      <c r="J74" s="127">
        <f>J75+J77+J76</f>
        <v>1137895</v>
      </c>
      <c r="K74" s="127">
        <f t="shared" si="5"/>
        <v>48775561</v>
      </c>
      <c r="L74" s="127">
        <f>L75+L76+L77</f>
        <v>57785379</v>
      </c>
      <c r="M74" s="127">
        <f t="shared" si="6"/>
        <v>10220802</v>
      </c>
      <c r="N74" s="160">
        <f t="shared" si="7"/>
        <v>0.21488264260186735</v>
      </c>
      <c r="O74" s="127">
        <f t="shared" si="8"/>
        <v>9009818</v>
      </c>
      <c r="P74" s="160">
        <f t="shared" si="9"/>
        <v>0.18471992562012768</v>
      </c>
    </row>
    <row r="75" spans="1:16" s="10" customFormat="1">
      <c r="A75" s="135"/>
      <c r="B75" s="135"/>
      <c r="C75" s="482"/>
      <c r="D75" s="482"/>
      <c r="E75" s="262" t="s">
        <v>45</v>
      </c>
      <c r="F75" s="128">
        <v>5888879</v>
      </c>
      <c r="G75" s="135"/>
      <c r="H75" s="138">
        <v>37000</v>
      </c>
      <c r="I75" s="138">
        <v>416508</v>
      </c>
      <c r="J75" s="136"/>
      <c r="K75" s="128">
        <f t="shared" si="5"/>
        <v>6342387</v>
      </c>
      <c r="L75" s="128">
        <v>4619601</v>
      </c>
      <c r="M75" s="128">
        <f t="shared" si="6"/>
        <v>-1269278</v>
      </c>
      <c r="N75" s="91">
        <f t="shared" si="7"/>
        <v>-0.21553813552630305</v>
      </c>
      <c r="O75" s="128">
        <f t="shared" si="8"/>
        <v>-1722786</v>
      </c>
      <c r="P75" s="91">
        <f t="shared" si="9"/>
        <v>-0.27163053910144558</v>
      </c>
    </row>
    <row r="76" spans="1:16" s="266" customFormat="1">
      <c r="A76" s="513"/>
      <c r="B76" s="513"/>
      <c r="C76" s="513"/>
      <c r="D76" s="513"/>
      <c r="E76" s="263" t="s">
        <v>33</v>
      </c>
      <c r="F76" s="128">
        <v>1559256</v>
      </c>
      <c r="G76" s="513"/>
      <c r="H76" s="138">
        <v>488804</v>
      </c>
      <c r="I76" s="138">
        <v>122910</v>
      </c>
      <c r="J76" s="279"/>
      <c r="K76" s="128">
        <f t="shared" si="5"/>
        <v>2170970</v>
      </c>
      <c r="L76" s="128">
        <v>1327461</v>
      </c>
      <c r="M76" s="128">
        <f t="shared" si="6"/>
        <v>-231795</v>
      </c>
      <c r="N76" s="91">
        <f t="shared" si="7"/>
        <v>-0.14865743662362049</v>
      </c>
      <c r="O76" s="128">
        <f t="shared" si="8"/>
        <v>-843509</v>
      </c>
      <c r="P76" s="91">
        <f t="shared" si="9"/>
        <v>-0.38854014564917988</v>
      </c>
    </row>
    <row r="77" spans="1:16" s="10" customFormat="1">
      <c r="A77" s="135"/>
      <c r="B77" s="135"/>
      <c r="C77" s="482"/>
      <c r="D77" s="482"/>
      <c r="E77" s="263" t="s">
        <v>46</v>
      </c>
      <c r="F77" s="128">
        <f>F72-F75-F76</f>
        <v>40116442</v>
      </c>
      <c r="G77" s="128">
        <f>G72-G75-G76</f>
        <v>0</v>
      </c>
      <c r="H77" s="128">
        <f>H72-H75-H76</f>
        <v>-507426</v>
      </c>
      <c r="I77" s="128">
        <f>I72-I75-I76</f>
        <v>-484707</v>
      </c>
      <c r="J77" s="128">
        <f>J72-J75-J76</f>
        <v>1137895</v>
      </c>
      <c r="K77" s="128">
        <f t="shared" si="5"/>
        <v>40262204</v>
      </c>
      <c r="L77" s="128">
        <f>L72-L75-L76</f>
        <v>51838317</v>
      </c>
      <c r="M77" s="128">
        <f t="shared" si="6"/>
        <v>11721875</v>
      </c>
      <c r="N77" s="91">
        <f t="shared" si="7"/>
        <v>0.29219627702775836</v>
      </c>
      <c r="O77" s="128">
        <f t="shared" si="8"/>
        <v>11576113</v>
      </c>
      <c r="P77" s="91">
        <f t="shared" si="9"/>
        <v>0.28751811500433511</v>
      </c>
    </row>
    <row r="78" spans="1:16" s="10" customFormat="1">
      <c r="A78" s="135"/>
      <c r="B78" s="135"/>
      <c r="C78" s="482"/>
      <c r="D78" s="482"/>
      <c r="E78" s="264" t="s">
        <v>718</v>
      </c>
      <c r="F78" s="129">
        <f>F81+F91+F118+F123+F128+F133+F138+F143+F148+F158+F193+F212+F262+F269+F153</f>
        <v>11879435</v>
      </c>
      <c r="G78" s="129">
        <f>G81+G91+G118+G123+G128+G133+G138+G143+G148+G158+G193+G212+G262+G269+G153</f>
        <v>0</v>
      </c>
      <c r="H78" s="129">
        <f>H81+H91+H118+H123+H128+H133+H138+H143+H148+H158+H193+H212+H262+H269+H153+H85+H167</f>
        <v>-233391</v>
      </c>
      <c r="I78" s="129">
        <f>I81+I91+I118+I123+I128+I133+I138+I143+I148+I158+I193+I212+I262+I269+I153+I85+I167+I172+I187</f>
        <v>-184860</v>
      </c>
      <c r="J78" s="129">
        <f>J81+J91+J118+J123+J128+J133+J138+J143+J148+J158+J193+J212+J262+J269+J153</f>
        <v>850446</v>
      </c>
      <c r="K78" s="129">
        <f t="shared" si="5"/>
        <v>12311630</v>
      </c>
      <c r="L78" s="129">
        <f>L81+L85+L91+L118+L123+L128+L133+L138+L143+L148+L153+L158+L167+L172+L177+L182+L187+L193+L212+L262+L269</f>
        <v>13451322</v>
      </c>
      <c r="M78" s="129">
        <f t="shared" si="6"/>
        <v>1571887</v>
      </c>
      <c r="N78" s="265">
        <f t="shared" si="7"/>
        <v>0.13232001353599729</v>
      </c>
      <c r="O78" s="129">
        <f t="shared" si="8"/>
        <v>1139692</v>
      </c>
      <c r="P78" s="265">
        <f t="shared" si="9"/>
        <v>9.2570358271000672E-2</v>
      </c>
    </row>
    <row r="79" spans="1:16" s="10" customFormat="1">
      <c r="A79" s="135"/>
      <c r="B79" s="135"/>
      <c r="C79" s="482"/>
      <c r="D79" s="482"/>
      <c r="E79" s="718"/>
      <c r="F79" s="277"/>
      <c r="G79" s="135"/>
      <c r="H79" s="136"/>
      <c r="I79" s="136"/>
      <c r="J79" s="136"/>
      <c r="K79" s="277">
        <f t="shared" si="5"/>
        <v>0</v>
      </c>
      <c r="L79" s="277">
        <v>0</v>
      </c>
      <c r="M79" s="277">
        <f t="shared" si="6"/>
        <v>0</v>
      </c>
      <c r="N79" s="278"/>
      <c r="O79" s="277">
        <f t="shared" si="8"/>
        <v>0</v>
      </c>
      <c r="P79" s="278"/>
    </row>
    <row r="80" spans="1:16" s="10" customFormat="1">
      <c r="A80" s="135" t="s">
        <v>670</v>
      </c>
      <c r="B80" s="135" t="s">
        <v>609</v>
      </c>
      <c r="C80" s="537"/>
      <c r="D80" s="537"/>
      <c r="E80" s="288" t="s">
        <v>647</v>
      </c>
      <c r="F80" s="289">
        <v>16446676</v>
      </c>
      <c r="G80" s="135"/>
      <c r="H80" s="136">
        <v>-338963</v>
      </c>
      <c r="I80" s="136">
        <v>-444853</v>
      </c>
      <c r="J80" s="136">
        <v>1081896</v>
      </c>
      <c r="K80" s="289">
        <f t="shared" si="5"/>
        <v>16744756</v>
      </c>
      <c r="L80" s="289">
        <v>18850750</v>
      </c>
      <c r="M80" s="289">
        <f t="shared" si="6"/>
        <v>2404074</v>
      </c>
      <c r="N80" s="282">
        <f t="shared" si="7"/>
        <v>0.14617385300227231</v>
      </c>
      <c r="O80" s="289">
        <f t="shared" si="8"/>
        <v>2105994</v>
      </c>
      <c r="P80" s="282">
        <f t="shared" si="9"/>
        <v>0.12577036058333727</v>
      </c>
    </row>
    <row r="81" spans="1:16" s="10" customFormat="1">
      <c r="A81" s="136"/>
      <c r="B81" s="135"/>
      <c r="C81" s="482"/>
      <c r="D81" s="482"/>
      <c r="E81" s="130" t="s">
        <v>47</v>
      </c>
      <c r="F81" s="124">
        <v>10533087</v>
      </c>
      <c r="G81" s="135"/>
      <c r="H81" s="272">
        <v>-246609</v>
      </c>
      <c r="I81" s="272">
        <v>-302428</v>
      </c>
      <c r="J81" s="272">
        <v>808593</v>
      </c>
      <c r="K81" s="124">
        <f t="shared" si="5"/>
        <v>10792643</v>
      </c>
      <c r="L81" s="124">
        <v>12331185</v>
      </c>
      <c r="M81" s="124">
        <f t="shared" si="6"/>
        <v>1798098</v>
      </c>
      <c r="N81" s="270">
        <f t="shared" si="7"/>
        <v>0.17070949855441239</v>
      </c>
      <c r="O81" s="124">
        <f t="shared" si="8"/>
        <v>1538542</v>
      </c>
      <c r="P81" s="270">
        <f t="shared" si="9"/>
        <v>0.14255470138315518</v>
      </c>
    </row>
    <row r="82" spans="1:16" s="10" customFormat="1">
      <c r="A82" s="135"/>
      <c r="B82" s="135"/>
      <c r="C82" s="482"/>
      <c r="D82" s="482"/>
      <c r="E82" s="130"/>
      <c r="F82" s="124"/>
      <c r="G82" s="135"/>
      <c r="H82" s="136"/>
      <c r="I82" s="136"/>
      <c r="J82" s="136"/>
      <c r="K82" s="124">
        <f t="shared" si="5"/>
        <v>0</v>
      </c>
      <c r="L82" s="124">
        <v>0</v>
      </c>
      <c r="M82" s="124">
        <f t="shared" si="6"/>
        <v>0</v>
      </c>
      <c r="N82" s="270"/>
      <c r="O82" s="124">
        <f t="shared" si="8"/>
        <v>0</v>
      </c>
      <c r="P82" s="270"/>
    </row>
    <row r="83" spans="1:16" s="10" customFormat="1">
      <c r="A83" s="135"/>
      <c r="B83" s="135"/>
      <c r="C83" s="482"/>
      <c r="D83" s="482"/>
      <c r="E83" s="280" t="s">
        <v>615</v>
      </c>
      <c r="F83" s="281">
        <v>1218008</v>
      </c>
      <c r="G83" s="135"/>
      <c r="H83" s="136"/>
      <c r="I83" s="136"/>
      <c r="J83" s="136"/>
      <c r="K83" s="281">
        <f t="shared" si="5"/>
        <v>1218008</v>
      </c>
      <c r="L83" s="281">
        <f>L84+L86+L87</f>
        <v>988000</v>
      </c>
      <c r="M83" s="281">
        <f t="shared" si="6"/>
        <v>-230008</v>
      </c>
      <c r="N83" s="282">
        <f t="shared" si="7"/>
        <v>-0.18883948217088886</v>
      </c>
      <c r="O83" s="281">
        <f t="shared" si="8"/>
        <v>-230008</v>
      </c>
      <c r="P83" s="282">
        <f t="shared" si="9"/>
        <v>-0.18883948217088886</v>
      </c>
    </row>
    <row r="84" spans="1:16" s="10" customFormat="1">
      <c r="A84" s="135" t="s">
        <v>688</v>
      </c>
      <c r="B84" s="135" t="s">
        <v>609</v>
      </c>
      <c r="C84" s="537"/>
      <c r="D84" s="537"/>
      <c r="E84" s="294" t="s">
        <v>832</v>
      </c>
      <c r="F84" s="125">
        <v>299000</v>
      </c>
      <c r="G84" s="135"/>
      <c r="H84" s="136"/>
      <c r="I84" s="136"/>
      <c r="J84" s="136"/>
      <c r="K84" s="125">
        <f t="shared" si="5"/>
        <v>299000</v>
      </c>
      <c r="L84" s="125">
        <v>289000</v>
      </c>
      <c r="M84" s="125">
        <f t="shared" si="6"/>
        <v>-10000</v>
      </c>
      <c r="N84" s="284">
        <f t="shared" si="7"/>
        <v>-3.3444816053511704E-2</v>
      </c>
      <c r="O84" s="125">
        <f t="shared" si="8"/>
        <v>-10000</v>
      </c>
      <c r="P84" s="284">
        <f t="shared" si="9"/>
        <v>-3.3444816053511704E-2</v>
      </c>
    </row>
    <row r="85" spans="1:16" s="10" customFormat="1">
      <c r="A85" s="135"/>
      <c r="B85" s="135"/>
      <c r="C85" s="537"/>
      <c r="D85" s="537"/>
      <c r="E85" s="130" t="s">
        <v>47</v>
      </c>
      <c r="F85" s="125"/>
      <c r="G85" s="135"/>
      <c r="H85" s="272">
        <v>3000</v>
      </c>
      <c r="I85" s="272">
        <v>2020</v>
      </c>
      <c r="J85" s="136"/>
      <c r="K85" s="125">
        <f t="shared" si="5"/>
        <v>5020</v>
      </c>
      <c r="L85" s="125">
        <v>0</v>
      </c>
      <c r="M85" s="125">
        <f t="shared" si="6"/>
        <v>0</v>
      </c>
      <c r="N85" s="284"/>
      <c r="O85" s="125">
        <f t="shared" si="8"/>
        <v>-5020</v>
      </c>
      <c r="P85" s="284">
        <f t="shared" si="9"/>
        <v>-1</v>
      </c>
    </row>
    <row r="86" spans="1:16" s="10" customFormat="1">
      <c r="A86" s="135" t="s">
        <v>681</v>
      </c>
      <c r="B86" s="135" t="s">
        <v>609</v>
      </c>
      <c r="C86" s="537"/>
      <c r="D86" s="537"/>
      <c r="E86" s="132" t="s">
        <v>627</v>
      </c>
      <c r="F86" s="124">
        <v>500000</v>
      </c>
      <c r="G86" s="135"/>
      <c r="H86" s="136"/>
      <c r="I86" s="136"/>
      <c r="J86" s="136"/>
      <c r="K86" s="124">
        <f t="shared" si="5"/>
        <v>500000</v>
      </c>
      <c r="L86" s="124">
        <v>250000</v>
      </c>
      <c r="M86" s="124">
        <f t="shared" si="6"/>
        <v>-250000</v>
      </c>
      <c r="N86" s="270">
        <f t="shared" si="7"/>
        <v>-0.5</v>
      </c>
      <c r="O86" s="124">
        <f t="shared" si="8"/>
        <v>-250000</v>
      </c>
      <c r="P86" s="270">
        <f t="shared" si="9"/>
        <v>-0.5</v>
      </c>
    </row>
    <row r="87" spans="1:16" s="10" customFormat="1">
      <c r="A87" s="135" t="s">
        <v>670</v>
      </c>
      <c r="B87" s="135" t="s">
        <v>609</v>
      </c>
      <c r="C87" s="537"/>
      <c r="D87" s="537"/>
      <c r="E87" s="132" t="s">
        <v>833</v>
      </c>
      <c r="F87" s="124">
        <v>369008</v>
      </c>
      <c r="G87" s="135"/>
      <c r="H87" s="136"/>
      <c r="I87" s="136"/>
      <c r="J87" s="136"/>
      <c r="K87" s="124">
        <f t="shared" si="5"/>
        <v>369008</v>
      </c>
      <c r="L87" s="124">
        <v>449000</v>
      </c>
      <c r="M87" s="124">
        <f t="shared" si="6"/>
        <v>79992</v>
      </c>
      <c r="N87" s="270">
        <f t="shared" si="7"/>
        <v>0.21677578805879547</v>
      </c>
      <c r="O87" s="124">
        <f t="shared" si="8"/>
        <v>79992</v>
      </c>
      <c r="P87" s="270">
        <f t="shared" si="9"/>
        <v>0.21677578805879547</v>
      </c>
    </row>
    <row r="88" spans="1:16" s="10" customFormat="1">
      <c r="A88" s="135" t="s">
        <v>688</v>
      </c>
      <c r="B88" s="135" t="s">
        <v>609</v>
      </c>
      <c r="C88" s="537"/>
      <c r="D88" s="537"/>
      <c r="E88" s="132" t="s">
        <v>834</v>
      </c>
      <c r="F88" s="124">
        <v>50000</v>
      </c>
      <c r="G88" s="135"/>
      <c r="H88" s="136"/>
      <c r="I88" s="136"/>
      <c r="J88" s="136"/>
      <c r="K88" s="124">
        <f t="shared" si="5"/>
        <v>50000</v>
      </c>
      <c r="L88" s="124">
        <v>0</v>
      </c>
      <c r="M88" s="124">
        <f t="shared" si="6"/>
        <v>-50000</v>
      </c>
      <c r="N88" s="270">
        <f t="shared" si="7"/>
        <v>-1</v>
      </c>
      <c r="O88" s="124">
        <f t="shared" si="8"/>
        <v>-50000</v>
      </c>
      <c r="P88" s="270">
        <f t="shared" si="9"/>
        <v>-1</v>
      </c>
    </row>
    <row r="89" spans="1:16" s="10" customFormat="1">
      <c r="A89" s="135"/>
      <c r="B89" s="135"/>
      <c r="C89" s="482"/>
      <c r="D89" s="482"/>
      <c r="E89" s="132"/>
      <c r="F89" s="124"/>
      <c r="G89" s="135"/>
      <c r="H89" s="136"/>
      <c r="I89" s="136"/>
      <c r="J89" s="136"/>
      <c r="K89" s="124">
        <f t="shared" si="5"/>
        <v>0</v>
      </c>
      <c r="L89" s="124">
        <v>0</v>
      </c>
      <c r="M89" s="124">
        <f t="shared" si="6"/>
        <v>0</v>
      </c>
      <c r="N89" s="270"/>
      <c r="O89" s="124">
        <f t="shared" si="8"/>
        <v>0</v>
      </c>
      <c r="P89" s="270"/>
    </row>
    <row r="90" spans="1:16" s="10" customFormat="1">
      <c r="A90" s="135" t="s">
        <v>681</v>
      </c>
      <c r="B90" s="135" t="s">
        <v>609</v>
      </c>
      <c r="C90" s="537"/>
      <c r="D90" s="537"/>
      <c r="E90" s="103" t="s">
        <v>808</v>
      </c>
      <c r="F90" s="268">
        <v>850000</v>
      </c>
      <c r="G90" s="135"/>
      <c r="H90" s="136">
        <v>-68025</v>
      </c>
      <c r="I90" s="136">
        <v>-38685</v>
      </c>
      <c r="J90" s="136">
        <v>11989</v>
      </c>
      <c r="K90" s="268">
        <f t="shared" si="5"/>
        <v>755279</v>
      </c>
      <c r="L90" s="268">
        <v>10259504</v>
      </c>
      <c r="M90" s="268">
        <f t="shared" si="6"/>
        <v>9409504</v>
      </c>
      <c r="N90" s="157">
        <f t="shared" si="7"/>
        <v>11.070004705882353</v>
      </c>
      <c r="O90" s="268">
        <f t="shared" si="8"/>
        <v>9504225</v>
      </c>
      <c r="P90" s="157">
        <f t="shared" si="9"/>
        <v>12.583727337844691</v>
      </c>
    </row>
    <row r="91" spans="1:16" s="10" customFormat="1">
      <c r="A91" s="135"/>
      <c r="B91" s="135"/>
      <c r="C91" s="482"/>
      <c r="D91" s="482"/>
      <c r="E91" s="130" t="s">
        <v>47</v>
      </c>
      <c r="F91" s="124">
        <v>326830</v>
      </c>
      <c r="G91" s="135"/>
      <c r="H91" s="272">
        <v>-15341</v>
      </c>
      <c r="I91" s="272">
        <v>60087</v>
      </c>
      <c r="J91" s="272">
        <v>8960</v>
      </c>
      <c r="K91" s="124">
        <f t="shared" si="5"/>
        <v>380536</v>
      </c>
      <c r="L91" s="124">
        <v>0</v>
      </c>
      <c r="M91" s="124">
        <f t="shared" si="6"/>
        <v>-326830</v>
      </c>
      <c r="N91" s="270">
        <f t="shared" si="7"/>
        <v>-1</v>
      </c>
      <c r="O91" s="124">
        <f t="shared" si="8"/>
        <v>-380536</v>
      </c>
      <c r="P91" s="270">
        <f t="shared" si="9"/>
        <v>-1</v>
      </c>
    </row>
    <row r="92" spans="1:16" s="10" customFormat="1">
      <c r="A92" s="135"/>
      <c r="B92" s="135"/>
      <c r="C92" s="482"/>
      <c r="D92" s="482"/>
      <c r="E92" s="130"/>
      <c r="F92" s="124"/>
      <c r="G92" s="135"/>
      <c r="H92" s="136"/>
      <c r="I92" s="136"/>
      <c r="J92" s="136"/>
      <c r="K92" s="124">
        <f t="shared" si="5"/>
        <v>0</v>
      </c>
      <c r="L92" s="124">
        <v>0</v>
      </c>
      <c r="M92" s="124">
        <f t="shared" si="6"/>
        <v>0</v>
      </c>
      <c r="N92" s="270"/>
      <c r="O92" s="124">
        <f t="shared" si="8"/>
        <v>0</v>
      </c>
      <c r="P92" s="270"/>
    </row>
    <row r="93" spans="1:16" s="10" customFormat="1">
      <c r="A93" s="135" t="s">
        <v>670</v>
      </c>
      <c r="B93" s="135" t="s">
        <v>609</v>
      </c>
      <c r="C93" s="537"/>
      <c r="D93" s="537"/>
      <c r="E93" s="103" t="s">
        <v>835</v>
      </c>
      <c r="F93" s="268">
        <v>121500</v>
      </c>
      <c r="G93" s="135"/>
      <c r="H93" s="136"/>
      <c r="I93" s="136"/>
      <c r="J93" s="136"/>
      <c r="K93" s="268">
        <f t="shared" si="5"/>
        <v>121500</v>
      </c>
      <c r="L93" s="268">
        <v>121500</v>
      </c>
      <c r="M93" s="268">
        <f t="shared" si="6"/>
        <v>0</v>
      </c>
      <c r="N93" s="157">
        <f t="shared" si="7"/>
        <v>0</v>
      </c>
      <c r="O93" s="268">
        <f t="shared" si="8"/>
        <v>0</v>
      </c>
      <c r="P93" s="157">
        <f t="shared" si="9"/>
        <v>0</v>
      </c>
    </row>
    <row r="94" spans="1:16" s="10" customFormat="1">
      <c r="A94" s="135"/>
      <c r="B94" s="135"/>
      <c r="C94" s="482"/>
      <c r="D94" s="482"/>
      <c r="E94" s="295"/>
      <c r="F94" s="268"/>
      <c r="G94" s="135"/>
      <c r="H94" s="136"/>
      <c r="I94" s="136"/>
      <c r="J94" s="136"/>
      <c r="K94" s="268">
        <f t="shared" si="5"/>
        <v>0</v>
      </c>
      <c r="L94" s="268">
        <v>0</v>
      </c>
      <c r="M94" s="268">
        <f t="shared" si="6"/>
        <v>0</v>
      </c>
      <c r="N94" s="157"/>
      <c r="O94" s="268">
        <f t="shared" si="8"/>
        <v>0</v>
      </c>
      <c r="P94" s="157"/>
    </row>
    <row r="95" spans="1:16" s="10" customFormat="1">
      <c r="A95" s="135" t="s">
        <v>671</v>
      </c>
      <c r="B95" s="135" t="s">
        <v>609</v>
      </c>
      <c r="C95" s="537"/>
      <c r="D95" s="537"/>
      <c r="E95" s="267" t="s">
        <v>315</v>
      </c>
      <c r="F95" s="268">
        <f>SUM(F96:F98)</f>
        <v>51750</v>
      </c>
      <c r="G95" s="135"/>
      <c r="H95" s="136"/>
      <c r="I95" s="136"/>
      <c r="J95" s="136"/>
      <c r="K95" s="268">
        <f t="shared" si="5"/>
        <v>51750</v>
      </c>
      <c r="L95" s="268">
        <f>L96+L97+L98</f>
        <v>42900</v>
      </c>
      <c r="M95" s="268">
        <f t="shared" si="6"/>
        <v>-8850</v>
      </c>
      <c r="N95" s="157">
        <f t="shared" si="7"/>
        <v>-0.17101449275362318</v>
      </c>
      <c r="O95" s="268">
        <f t="shared" si="8"/>
        <v>-8850</v>
      </c>
      <c r="P95" s="157">
        <f t="shared" si="9"/>
        <v>-0.17101449275362318</v>
      </c>
    </row>
    <row r="96" spans="1:16" s="10" customFormat="1">
      <c r="A96" s="135"/>
      <c r="B96" s="135"/>
      <c r="C96" s="482"/>
      <c r="D96" s="482"/>
      <c r="E96" s="296" t="s">
        <v>501</v>
      </c>
      <c r="F96" s="277">
        <v>45000</v>
      </c>
      <c r="G96" s="135"/>
      <c r="H96" s="136"/>
      <c r="I96" s="136"/>
      <c r="J96" s="136"/>
      <c r="K96" s="277">
        <f t="shared" si="5"/>
        <v>45000</v>
      </c>
      <c r="L96" s="277">
        <v>36150</v>
      </c>
      <c r="M96" s="277">
        <f t="shared" si="6"/>
        <v>-8850</v>
      </c>
      <c r="N96" s="278">
        <f t="shared" si="7"/>
        <v>-0.19666666666666666</v>
      </c>
      <c r="O96" s="277">
        <f t="shared" si="8"/>
        <v>-8850</v>
      </c>
      <c r="P96" s="278">
        <f t="shared" si="9"/>
        <v>-0.19666666666666666</v>
      </c>
    </row>
    <row r="97" spans="1:16" s="10" customFormat="1">
      <c r="A97" s="135"/>
      <c r="B97" s="135"/>
      <c r="C97" s="482"/>
      <c r="D97" s="482"/>
      <c r="E97" s="297" t="s">
        <v>350</v>
      </c>
      <c r="F97" s="298">
        <v>5750</v>
      </c>
      <c r="G97" s="135"/>
      <c r="H97" s="136"/>
      <c r="I97" s="136"/>
      <c r="J97" s="136"/>
      <c r="K97" s="298">
        <f t="shared" si="5"/>
        <v>5750</v>
      </c>
      <c r="L97" s="298">
        <v>5750</v>
      </c>
      <c r="M97" s="298">
        <f t="shared" si="6"/>
        <v>0</v>
      </c>
      <c r="N97" s="299">
        <f t="shared" si="7"/>
        <v>0</v>
      </c>
      <c r="O97" s="298">
        <f t="shared" si="8"/>
        <v>0</v>
      </c>
      <c r="P97" s="299">
        <f t="shared" si="9"/>
        <v>0</v>
      </c>
    </row>
    <row r="98" spans="1:16" s="10" customFormat="1">
      <c r="A98" s="135"/>
      <c r="B98" s="135"/>
      <c r="C98" s="482"/>
      <c r="D98" s="482"/>
      <c r="E98" s="297" t="s">
        <v>316</v>
      </c>
      <c r="F98" s="298">
        <v>1000</v>
      </c>
      <c r="G98" s="135"/>
      <c r="H98" s="136"/>
      <c r="I98" s="136"/>
      <c r="J98" s="136"/>
      <c r="K98" s="298">
        <f t="shared" si="5"/>
        <v>1000</v>
      </c>
      <c r="L98" s="298">
        <v>1000</v>
      </c>
      <c r="M98" s="298">
        <f t="shared" si="6"/>
        <v>0</v>
      </c>
      <c r="N98" s="299">
        <f t="shared" si="7"/>
        <v>0</v>
      </c>
      <c r="O98" s="298">
        <f t="shared" si="8"/>
        <v>0</v>
      </c>
      <c r="P98" s="299">
        <f t="shared" si="9"/>
        <v>0</v>
      </c>
    </row>
    <row r="99" spans="1:16" s="10" customFormat="1">
      <c r="A99" s="135"/>
      <c r="B99" s="135"/>
      <c r="C99" s="482"/>
      <c r="D99" s="482"/>
      <c r="E99" s="295"/>
      <c r="F99" s="268"/>
      <c r="G99" s="135"/>
      <c r="H99" s="136"/>
      <c r="I99" s="136"/>
      <c r="J99" s="136"/>
      <c r="K99" s="268">
        <f t="shared" si="5"/>
        <v>0</v>
      </c>
      <c r="L99" s="268">
        <v>0</v>
      </c>
      <c r="M99" s="268">
        <f t="shared" si="6"/>
        <v>0</v>
      </c>
      <c r="N99" s="157"/>
      <c r="O99" s="268">
        <f t="shared" si="8"/>
        <v>0</v>
      </c>
      <c r="P99" s="157"/>
    </row>
    <row r="100" spans="1:16" s="10" customFormat="1">
      <c r="A100" s="135" t="s">
        <v>671</v>
      </c>
      <c r="B100" s="135" t="s">
        <v>609</v>
      </c>
      <c r="C100" s="537"/>
      <c r="D100" s="537"/>
      <c r="E100" s="103" t="s">
        <v>836</v>
      </c>
      <c r="F100" s="268">
        <v>8000</v>
      </c>
      <c r="G100" s="135"/>
      <c r="H100" s="136"/>
      <c r="I100" s="136"/>
      <c r="J100" s="136"/>
      <c r="K100" s="268">
        <f t="shared" si="5"/>
        <v>8000</v>
      </c>
      <c r="L100" s="268">
        <v>0</v>
      </c>
      <c r="M100" s="268">
        <f t="shared" si="6"/>
        <v>-8000</v>
      </c>
      <c r="N100" s="157">
        <f t="shared" si="7"/>
        <v>-1</v>
      </c>
      <c r="O100" s="268">
        <f t="shared" si="8"/>
        <v>-8000</v>
      </c>
      <c r="P100" s="157">
        <f t="shared" si="9"/>
        <v>-1</v>
      </c>
    </row>
    <row r="101" spans="1:16" s="10" customFormat="1">
      <c r="A101" s="135"/>
      <c r="B101" s="135"/>
      <c r="C101" s="482"/>
      <c r="D101" s="482"/>
      <c r="E101" s="295"/>
      <c r="F101" s="268"/>
      <c r="G101" s="135"/>
      <c r="H101" s="136"/>
      <c r="I101" s="136"/>
      <c r="J101" s="136"/>
      <c r="K101" s="268">
        <f t="shared" si="5"/>
        <v>0</v>
      </c>
      <c r="L101" s="268">
        <v>0</v>
      </c>
      <c r="M101" s="268">
        <f t="shared" si="6"/>
        <v>0</v>
      </c>
      <c r="N101" s="157"/>
      <c r="O101" s="268">
        <f t="shared" si="8"/>
        <v>0</v>
      </c>
      <c r="P101" s="157"/>
    </row>
    <row r="102" spans="1:16" s="10" customFormat="1">
      <c r="A102" s="135" t="s">
        <v>671</v>
      </c>
      <c r="B102" s="135" t="s">
        <v>609</v>
      </c>
      <c r="C102" s="537"/>
      <c r="D102" s="537"/>
      <c r="E102" s="103" t="s">
        <v>837</v>
      </c>
      <c r="F102" s="268">
        <v>20000</v>
      </c>
      <c r="G102" s="135"/>
      <c r="H102" s="136"/>
      <c r="I102" s="136"/>
      <c r="J102" s="136"/>
      <c r="K102" s="268">
        <f t="shared" si="5"/>
        <v>20000</v>
      </c>
      <c r="L102" s="268">
        <v>20000</v>
      </c>
      <c r="M102" s="268">
        <f t="shared" si="6"/>
        <v>0</v>
      </c>
      <c r="N102" s="157">
        <f t="shared" si="7"/>
        <v>0</v>
      </c>
      <c r="O102" s="268">
        <f t="shared" si="8"/>
        <v>0</v>
      </c>
      <c r="P102" s="157">
        <f t="shared" si="9"/>
        <v>0</v>
      </c>
    </row>
    <row r="103" spans="1:16" s="10" customFormat="1">
      <c r="A103" s="135"/>
      <c r="B103" s="135"/>
      <c r="C103" s="482"/>
      <c r="D103" s="482"/>
      <c r="E103" s="300"/>
      <c r="F103" s="268"/>
      <c r="G103" s="135"/>
      <c r="H103" s="136"/>
      <c r="I103" s="136"/>
      <c r="J103" s="136"/>
      <c r="K103" s="268">
        <f t="shared" si="5"/>
        <v>0</v>
      </c>
      <c r="L103" s="268">
        <v>0</v>
      </c>
      <c r="M103" s="268">
        <f t="shared" si="6"/>
        <v>0</v>
      </c>
      <c r="N103" s="157"/>
      <c r="O103" s="268">
        <f t="shared" si="8"/>
        <v>0</v>
      </c>
      <c r="P103" s="157"/>
    </row>
    <row r="104" spans="1:16" s="10" customFormat="1">
      <c r="A104" s="135"/>
      <c r="B104" s="135"/>
      <c r="C104" s="482"/>
      <c r="D104" s="482"/>
      <c r="E104" s="104" t="s">
        <v>663</v>
      </c>
      <c r="F104" s="136">
        <f>F105+F106+F107</f>
        <v>12377381</v>
      </c>
      <c r="G104" s="135"/>
      <c r="H104" s="136"/>
      <c r="I104" s="136"/>
      <c r="J104" s="136"/>
      <c r="K104" s="136">
        <f t="shared" si="5"/>
        <v>12377381</v>
      </c>
      <c r="L104" s="136">
        <f>L105+L106+L107</f>
        <v>12404525</v>
      </c>
      <c r="M104" s="136">
        <f t="shared" si="6"/>
        <v>27144</v>
      </c>
      <c r="N104" s="157">
        <f t="shared" si="7"/>
        <v>2.1930325971221214E-3</v>
      </c>
      <c r="O104" s="136">
        <f t="shared" si="8"/>
        <v>27144</v>
      </c>
      <c r="P104" s="157">
        <f t="shared" si="9"/>
        <v>2.1930325971221214E-3</v>
      </c>
    </row>
    <row r="105" spans="1:16" s="10" customFormat="1">
      <c r="A105" s="135" t="s">
        <v>671</v>
      </c>
      <c r="B105" s="135" t="s">
        <v>609</v>
      </c>
      <c r="C105" s="537"/>
      <c r="D105" s="537"/>
      <c r="E105" s="301" t="s">
        <v>665</v>
      </c>
      <c r="F105" s="138">
        <v>3450502</v>
      </c>
      <c r="G105" s="135"/>
      <c r="H105" s="136"/>
      <c r="I105" s="136"/>
      <c r="J105" s="136"/>
      <c r="K105" s="138">
        <f t="shared" si="5"/>
        <v>3450502</v>
      </c>
      <c r="L105" s="138">
        <v>3890750</v>
      </c>
      <c r="M105" s="138">
        <f t="shared" si="6"/>
        <v>440248</v>
      </c>
      <c r="N105" s="91">
        <f t="shared" si="7"/>
        <v>0.12758955073783468</v>
      </c>
      <c r="O105" s="138">
        <f t="shared" si="8"/>
        <v>440248</v>
      </c>
      <c r="P105" s="91">
        <f t="shared" si="9"/>
        <v>0.12758955073783468</v>
      </c>
    </row>
    <row r="106" spans="1:16" s="10" customFormat="1">
      <c r="A106" s="135" t="s">
        <v>688</v>
      </c>
      <c r="B106" s="135" t="s">
        <v>609</v>
      </c>
      <c r="C106" s="537"/>
      <c r="D106" s="537"/>
      <c r="E106" s="301" t="s">
        <v>666</v>
      </c>
      <c r="F106" s="138">
        <v>459551</v>
      </c>
      <c r="G106" s="135"/>
      <c r="H106" s="136"/>
      <c r="I106" s="136"/>
      <c r="J106" s="136"/>
      <c r="K106" s="138">
        <f t="shared" si="5"/>
        <v>459551</v>
      </c>
      <c r="L106" s="138">
        <v>0</v>
      </c>
      <c r="M106" s="138">
        <f t="shared" si="6"/>
        <v>-459551</v>
      </c>
      <c r="N106" s="91">
        <f t="shared" si="7"/>
        <v>-1</v>
      </c>
      <c r="O106" s="138">
        <f t="shared" si="8"/>
        <v>-459551</v>
      </c>
      <c r="P106" s="91">
        <f t="shared" si="9"/>
        <v>-1</v>
      </c>
    </row>
    <row r="107" spans="1:16" s="10" customFormat="1">
      <c r="A107" s="135" t="s">
        <v>670</v>
      </c>
      <c r="B107" s="135" t="s">
        <v>609</v>
      </c>
      <c r="C107" s="537"/>
      <c r="D107" s="537"/>
      <c r="E107" s="301" t="s">
        <v>664</v>
      </c>
      <c r="F107" s="138">
        <v>8467328</v>
      </c>
      <c r="G107" s="135"/>
      <c r="H107" s="136"/>
      <c r="I107" s="136"/>
      <c r="J107" s="136"/>
      <c r="K107" s="138">
        <f t="shared" si="5"/>
        <v>8467328</v>
      </c>
      <c r="L107" s="138">
        <v>8513775</v>
      </c>
      <c r="M107" s="138">
        <f t="shared" si="6"/>
        <v>46447</v>
      </c>
      <c r="N107" s="91">
        <f t="shared" si="7"/>
        <v>5.4854376728998809E-3</v>
      </c>
      <c r="O107" s="138">
        <f t="shared" si="8"/>
        <v>46447</v>
      </c>
      <c r="P107" s="91">
        <f t="shared" si="9"/>
        <v>5.4854376728998809E-3</v>
      </c>
    </row>
    <row r="108" spans="1:16" s="10" customFormat="1">
      <c r="A108" s="135"/>
      <c r="B108" s="135"/>
      <c r="C108" s="482"/>
      <c r="D108" s="482"/>
      <c r="E108" s="301"/>
      <c r="F108" s="138"/>
      <c r="G108" s="135"/>
      <c r="H108" s="136"/>
      <c r="I108" s="136"/>
      <c r="J108" s="136"/>
      <c r="K108" s="138">
        <f t="shared" si="5"/>
        <v>0</v>
      </c>
      <c r="L108" s="138">
        <v>0</v>
      </c>
      <c r="M108" s="138">
        <f t="shared" si="6"/>
        <v>0</v>
      </c>
      <c r="N108" s="91"/>
      <c r="O108" s="138">
        <f t="shared" si="8"/>
        <v>0</v>
      </c>
      <c r="P108" s="91"/>
    </row>
    <row r="109" spans="1:16" s="10" customFormat="1">
      <c r="A109" s="135"/>
      <c r="B109" s="135"/>
      <c r="C109" s="482"/>
      <c r="D109" s="482"/>
      <c r="E109" s="302" t="s">
        <v>658</v>
      </c>
      <c r="F109" s="298"/>
      <c r="G109" s="135"/>
      <c r="H109" s="136"/>
      <c r="I109" s="136"/>
      <c r="J109" s="136"/>
      <c r="K109" s="298">
        <f t="shared" si="5"/>
        <v>0</v>
      </c>
      <c r="L109" s="298">
        <v>0</v>
      </c>
      <c r="M109" s="298">
        <f t="shared" si="6"/>
        <v>0</v>
      </c>
      <c r="N109" s="299"/>
      <c r="O109" s="298">
        <f t="shared" si="8"/>
        <v>0</v>
      </c>
      <c r="P109" s="299"/>
    </row>
    <row r="110" spans="1:16" s="10" customFormat="1">
      <c r="A110" s="135"/>
      <c r="B110" s="135"/>
      <c r="C110" s="482"/>
      <c r="D110" s="482"/>
      <c r="E110" s="302"/>
      <c r="F110" s="298"/>
      <c r="G110" s="135"/>
      <c r="H110" s="136"/>
      <c r="I110" s="136"/>
      <c r="J110" s="136"/>
      <c r="K110" s="298">
        <f t="shared" si="5"/>
        <v>0</v>
      </c>
      <c r="L110" s="298">
        <v>0</v>
      </c>
      <c r="M110" s="298">
        <f t="shared" si="6"/>
        <v>0</v>
      </c>
      <c r="N110" s="299"/>
      <c r="O110" s="298">
        <f t="shared" si="8"/>
        <v>0</v>
      </c>
      <c r="P110" s="299"/>
    </row>
    <row r="111" spans="1:16" s="10" customFormat="1">
      <c r="A111" s="135" t="s">
        <v>670</v>
      </c>
      <c r="B111" s="135" t="s">
        <v>609</v>
      </c>
      <c r="C111" s="537"/>
      <c r="D111" s="537"/>
      <c r="E111" s="104" t="s">
        <v>616</v>
      </c>
      <c r="F111" s="136">
        <v>3331920</v>
      </c>
      <c r="G111" s="135"/>
      <c r="H111" s="136"/>
      <c r="I111" s="136">
        <v>-397900</v>
      </c>
      <c r="J111" s="136"/>
      <c r="K111" s="136">
        <f t="shared" si="5"/>
        <v>2934020</v>
      </c>
      <c r="L111" s="136">
        <v>2998450</v>
      </c>
      <c r="M111" s="136">
        <f t="shared" si="6"/>
        <v>-333470</v>
      </c>
      <c r="N111" s="157">
        <f t="shared" si="7"/>
        <v>-0.10008343537659968</v>
      </c>
      <c r="O111" s="136">
        <f t="shared" si="8"/>
        <v>64430</v>
      </c>
      <c r="P111" s="157">
        <f t="shared" si="9"/>
        <v>2.1959632177013109E-2</v>
      </c>
    </row>
    <row r="112" spans="1:16" s="10" customFormat="1">
      <c r="A112" s="135"/>
      <c r="B112" s="135"/>
      <c r="C112" s="482"/>
      <c r="D112" s="482"/>
      <c r="E112" s="130"/>
      <c r="F112" s="124"/>
      <c r="G112" s="135"/>
      <c r="H112" s="136"/>
      <c r="I112" s="136"/>
      <c r="J112" s="136"/>
      <c r="K112" s="124">
        <f t="shared" si="5"/>
        <v>0</v>
      </c>
      <c r="L112" s="124">
        <v>0</v>
      </c>
      <c r="M112" s="124">
        <f t="shared" si="6"/>
        <v>0</v>
      </c>
      <c r="N112" s="270"/>
      <c r="O112" s="124">
        <f t="shared" si="8"/>
        <v>0</v>
      </c>
      <c r="P112" s="270"/>
    </row>
    <row r="113" spans="1:16" s="10" customFormat="1">
      <c r="A113" s="135" t="s">
        <v>670</v>
      </c>
      <c r="B113" s="135" t="s">
        <v>609</v>
      </c>
      <c r="C113" s="537"/>
      <c r="D113" s="537"/>
      <c r="E113" s="104" t="s">
        <v>308</v>
      </c>
      <c r="F113" s="136">
        <v>277207</v>
      </c>
      <c r="G113" s="135"/>
      <c r="H113" s="136">
        <v>9000</v>
      </c>
      <c r="I113" s="136">
        <v>37380</v>
      </c>
      <c r="J113" s="136"/>
      <c r="K113" s="136">
        <f t="shared" si="5"/>
        <v>323587</v>
      </c>
      <c r="L113" s="136">
        <v>292249</v>
      </c>
      <c r="M113" s="136">
        <f t="shared" si="6"/>
        <v>15042</v>
      </c>
      <c r="N113" s="157">
        <f t="shared" si="7"/>
        <v>5.4262698993892654E-2</v>
      </c>
      <c r="O113" s="136">
        <f t="shared" si="8"/>
        <v>-31338</v>
      </c>
      <c r="P113" s="157">
        <f t="shared" si="9"/>
        <v>-9.6845670561549135E-2</v>
      </c>
    </row>
    <row r="114" spans="1:16" s="10" customFormat="1">
      <c r="A114" s="135"/>
      <c r="B114" s="135"/>
      <c r="C114" s="482"/>
      <c r="D114" s="482"/>
      <c r="E114" s="303"/>
      <c r="F114" s="304"/>
      <c r="G114" s="135"/>
      <c r="H114" s="136"/>
      <c r="I114" s="136"/>
      <c r="J114" s="136"/>
      <c r="K114" s="304">
        <f t="shared" si="5"/>
        <v>0</v>
      </c>
      <c r="L114" s="304">
        <v>0</v>
      </c>
      <c r="M114" s="304">
        <f t="shared" si="6"/>
        <v>0</v>
      </c>
      <c r="N114" s="305"/>
      <c r="O114" s="304">
        <f t="shared" si="8"/>
        <v>0</v>
      </c>
      <c r="P114" s="305"/>
    </row>
    <row r="115" spans="1:16" s="10" customFormat="1">
      <c r="A115" s="135" t="s">
        <v>670</v>
      </c>
      <c r="B115" s="135" t="s">
        <v>609</v>
      </c>
      <c r="C115" s="537"/>
      <c r="D115" s="537"/>
      <c r="E115" s="104" t="s">
        <v>309</v>
      </c>
      <c r="F115" s="136">
        <v>1700672</v>
      </c>
      <c r="G115" s="135"/>
      <c r="H115" s="136">
        <v>52000</v>
      </c>
      <c r="I115" s="136"/>
      <c r="J115" s="136"/>
      <c r="K115" s="136">
        <f t="shared" si="5"/>
        <v>1752672</v>
      </c>
      <c r="L115" s="136">
        <v>1582949</v>
      </c>
      <c r="M115" s="136">
        <f t="shared" si="6"/>
        <v>-117723</v>
      </c>
      <c r="N115" s="157">
        <f t="shared" si="7"/>
        <v>-6.9221460693184814E-2</v>
      </c>
      <c r="O115" s="136">
        <f t="shared" si="8"/>
        <v>-169723</v>
      </c>
      <c r="P115" s="157">
        <f t="shared" si="9"/>
        <v>-9.6836715597670306E-2</v>
      </c>
    </row>
    <row r="116" spans="1:16" s="10" customFormat="1">
      <c r="A116" s="135"/>
      <c r="B116" s="135"/>
      <c r="C116" s="482"/>
      <c r="D116" s="482"/>
      <c r="E116" s="147"/>
      <c r="F116" s="136"/>
      <c r="G116" s="135"/>
      <c r="H116" s="136"/>
      <c r="I116" s="136"/>
      <c r="J116" s="136"/>
      <c r="K116" s="136">
        <f t="shared" si="5"/>
        <v>0</v>
      </c>
      <c r="L116" s="136">
        <v>0</v>
      </c>
      <c r="M116" s="136">
        <f t="shared" si="6"/>
        <v>0</v>
      </c>
      <c r="N116" s="157"/>
      <c r="O116" s="136">
        <f t="shared" si="8"/>
        <v>0</v>
      </c>
      <c r="P116" s="157"/>
    </row>
    <row r="117" spans="1:16" s="10" customFormat="1" ht="26.4">
      <c r="A117" s="135" t="s">
        <v>683</v>
      </c>
      <c r="B117" s="135" t="s">
        <v>609</v>
      </c>
      <c r="C117" s="537"/>
      <c r="D117" s="537"/>
      <c r="E117" s="290" t="s">
        <v>502</v>
      </c>
      <c r="F117" s="291">
        <v>309705</v>
      </c>
      <c r="G117" s="135"/>
      <c r="H117" s="136">
        <v>16115</v>
      </c>
      <c r="I117" s="136"/>
      <c r="J117" s="136"/>
      <c r="K117" s="291">
        <f t="shared" si="5"/>
        <v>325820</v>
      </c>
      <c r="L117" s="291">
        <v>0</v>
      </c>
      <c r="M117" s="291">
        <f t="shared" si="6"/>
        <v>-309705</v>
      </c>
      <c r="N117" s="282">
        <f t="shared" si="7"/>
        <v>-1</v>
      </c>
      <c r="O117" s="291">
        <f t="shared" si="8"/>
        <v>-325820</v>
      </c>
      <c r="P117" s="282">
        <f t="shared" si="9"/>
        <v>-1</v>
      </c>
    </row>
    <row r="118" spans="1:16" s="10" customFormat="1">
      <c r="A118" s="135"/>
      <c r="B118" s="135"/>
      <c r="C118" s="482"/>
      <c r="D118" s="482"/>
      <c r="E118" s="130" t="s">
        <v>47</v>
      </c>
      <c r="F118" s="124">
        <v>22421</v>
      </c>
      <c r="G118" s="135"/>
      <c r="H118" s="272">
        <v>5168</v>
      </c>
      <c r="I118" s="272"/>
      <c r="J118" s="136"/>
      <c r="K118" s="124">
        <f t="shared" si="5"/>
        <v>27589</v>
      </c>
      <c r="L118" s="124">
        <v>0</v>
      </c>
      <c r="M118" s="124">
        <f t="shared" si="6"/>
        <v>-22421</v>
      </c>
      <c r="N118" s="270">
        <f t="shared" si="7"/>
        <v>-1</v>
      </c>
      <c r="O118" s="124">
        <f t="shared" si="8"/>
        <v>-27589</v>
      </c>
      <c r="P118" s="270">
        <f t="shared" si="9"/>
        <v>-1</v>
      </c>
    </row>
    <row r="119" spans="1:16" s="10" customFormat="1">
      <c r="A119" s="135"/>
      <c r="B119" s="135"/>
      <c r="C119" s="482"/>
      <c r="D119" s="482"/>
      <c r="E119" s="306"/>
      <c r="F119" s="515"/>
      <c r="G119" s="135"/>
      <c r="H119" s="136"/>
      <c r="I119" s="136"/>
      <c r="J119" s="136"/>
      <c r="K119" s="515">
        <f t="shared" si="5"/>
        <v>0</v>
      </c>
      <c r="L119" s="515">
        <v>0</v>
      </c>
      <c r="M119" s="515">
        <f t="shared" si="6"/>
        <v>0</v>
      </c>
      <c r="N119" s="651"/>
      <c r="O119" s="515">
        <f t="shared" si="8"/>
        <v>0</v>
      </c>
      <c r="P119" s="651"/>
    </row>
    <row r="120" spans="1:16" s="10" customFormat="1">
      <c r="A120" s="135"/>
      <c r="B120" s="135"/>
      <c r="C120" s="482"/>
      <c r="D120" s="482"/>
      <c r="E120" s="307" t="s">
        <v>224</v>
      </c>
      <c r="F120" s="125">
        <v>278735</v>
      </c>
      <c r="G120" s="135"/>
      <c r="H120" s="272">
        <v>14553</v>
      </c>
      <c r="I120" s="272"/>
      <c r="J120" s="136"/>
      <c r="K120" s="125">
        <f t="shared" si="5"/>
        <v>293288</v>
      </c>
      <c r="L120" s="125">
        <v>0</v>
      </c>
      <c r="M120" s="125">
        <f t="shared" si="6"/>
        <v>-278735</v>
      </c>
      <c r="N120" s="284">
        <f t="shared" si="7"/>
        <v>-1</v>
      </c>
      <c r="O120" s="125">
        <f t="shared" si="8"/>
        <v>-293288</v>
      </c>
      <c r="P120" s="284">
        <f t="shared" si="9"/>
        <v>-1</v>
      </c>
    </row>
    <row r="121" spans="1:16" s="10" customFormat="1">
      <c r="A121" s="135"/>
      <c r="B121" s="135"/>
      <c r="C121" s="482"/>
      <c r="D121" s="482"/>
      <c r="E121" s="290"/>
      <c r="F121" s="291"/>
      <c r="G121" s="135"/>
      <c r="H121" s="136"/>
      <c r="I121" s="136"/>
      <c r="J121" s="136"/>
      <c r="K121" s="291">
        <f t="shared" si="5"/>
        <v>0</v>
      </c>
      <c r="L121" s="291">
        <v>0</v>
      </c>
      <c r="M121" s="291">
        <f t="shared" si="6"/>
        <v>0</v>
      </c>
      <c r="N121" s="282"/>
      <c r="O121" s="291">
        <f t="shared" si="8"/>
        <v>0</v>
      </c>
      <c r="P121" s="282"/>
    </row>
    <row r="122" spans="1:16" s="266" customFormat="1" ht="39.6">
      <c r="A122" s="513" t="s">
        <v>672</v>
      </c>
      <c r="B122" s="513" t="s">
        <v>609</v>
      </c>
      <c r="C122" s="537"/>
      <c r="D122" s="537"/>
      <c r="E122" s="290" t="s">
        <v>503</v>
      </c>
      <c r="F122" s="291">
        <v>15700</v>
      </c>
      <c r="G122" s="513"/>
      <c r="H122" s="279"/>
      <c r="I122" s="279"/>
      <c r="J122" s="279"/>
      <c r="K122" s="291">
        <f t="shared" si="5"/>
        <v>15700</v>
      </c>
      <c r="L122" s="291">
        <v>15750</v>
      </c>
      <c r="M122" s="291">
        <f t="shared" si="6"/>
        <v>50</v>
      </c>
      <c r="N122" s="282">
        <f t="shared" si="7"/>
        <v>3.1847133757961785E-3</v>
      </c>
      <c r="O122" s="291">
        <f t="shared" si="8"/>
        <v>50</v>
      </c>
      <c r="P122" s="282">
        <f t="shared" si="9"/>
        <v>3.1847133757961785E-3</v>
      </c>
    </row>
    <row r="123" spans="1:16" s="10" customFormat="1">
      <c r="A123" s="135"/>
      <c r="B123" s="135"/>
      <c r="C123" s="482"/>
      <c r="D123" s="482"/>
      <c r="E123" s="130" t="s">
        <v>47</v>
      </c>
      <c r="F123" s="124">
        <v>7500</v>
      </c>
      <c r="G123" s="135"/>
      <c r="H123" s="136"/>
      <c r="I123" s="136"/>
      <c r="J123" s="136"/>
      <c r="K123" s="124">
        <f t="shared" si="5"/>
        <v>7500</v>
      </c>
      <c r="L123" s="124">
        <v>7500</v>
      </c>
      <c r="M123" s="124">
        <f t="shared" si="6"/>
        <v>0</v>
      </c>
      <c r="N123" s="270">
        <f t="shared" si="7"/>
        <v>0</v>
      </c>
      <c r="O123" s="124">
        <f t="shared" si="8"/>
        <v>0</v>
      </c>
      <c r="P123" s="270">
        <f t="shared" si="9"/>
        <v>0</v>
      </c>
    </row>
    <row r="124" spans="1:16" s="10" customFormat="1">
      <c r="A124" s="135"/>
      <c r="B124" s="135"/>
      <c r="C124" s="482"/>
      <c r="D124" s="482"/>
      <c r="E124" s="285"/>
      <c r="F124" s="286"/>
      <c r="G124" s="135"/>
      <c r="H124" s="136"/>
      <c r="I124" s="136"/>
      <c r="J124" s="136"/>
      <c r="K124" s="286">
        <f t="shared" si="5"/>
        <v>0</v>
      </c>
      <c r="L124" s="286">
        <v>0</v>
      </c>
      <c r="M124" s="286">
        <f t="shared" si="6"/>
        <v>0</v>
      </c>
      <c r="N124" s="287"/>
      <c r="O124" s="286">
        <f t="shared" si="8"/>
        <v>0</v>
      </c>
      <c r="P124" s="287"/>
    </row>
    <row r="125" spans="1:16" s="10" customFormat="1">
      <c r="A125" s="135"/>
      <c r="B125" s="135"/>
      <c r="C125" s="482"/>
      <c r="D125" s="482"/>
      <c r="E125" s="307" t="s">
        <v>224</v>
      </c>
      <c r="F125" s="125">
        <v>15700</v>
      </c>
      <c r="G125" s="135"/>
      <c r="H125" s="136"/>
      <c r="I125" s="136"/>
      <c r="J125" s="136"/>
      <c r="K125" s="125">
        <f t="shared" si="5"/>
        <v>15700</v>
      </c>
      <c r="L125" s="125">
        <v>15750</v>
      </c>
      <c r="M125" s="125">
        <f t="shared" si="6"/>
        <v>50</v>
      </c>
      <c r="N125" s="284">
        <f t="shared" si="7"/>
        <v>3.1847133757961785E-3</v>
      </c>
      <c r="O125" s="125">
        <f t="shared" si="8"/>
        <v>50</v>
      </c>
      <c r="P125" s="284">
        <f t="shared" si="9"/>
        <v>3.1847133757961785E-3</v>
      </c>
    </row>
    <row r="126" spans="1:16" s="10" customFormat="1">
      <c r="A126" s="135"/>
      <c r="B126" s="135"/>
      <c r="C126" s="482"/>
      <c r="D126" s="482"/>
      <c r="E126" s="307"/>
      <c r="F126" s="125"/>
      <c r="G126" s="135"/>
      <c r="H126" s="136"/>
      <c r="I126" s="136"/>
      <c r="J126" s="136"/>
      <c r="K126" s="125">
        <f t="shared" si="5"/>
        <v>0</v>
      </c>
      <c r="L126" s="125">
        <v>0</v>
      </c>
      <c r="M126" s="125">
        <f t="shared" si="6"/>
        <v>0</v>
      </c>
      <c r="N126" s="284"/>
      <c r="O126" s="125">
        <f t="shared" si="8"/>
        <v>0</v>
      </c>
      <c r="P126" s="284"/>
    </row>
    <row r="127" spans="1:16" s="10" customFormat="1" ht="26.4">
      <c r="A127" s="135" t="s">
        <v>681</v>
      </c>
      <c r="B127" s="135" t="s">
        <v>609</v>
      </c>
      <c r="C127" s="537"/>
      <c r="D127" s="537"/>
      <c r="E127" s="290" t="s">
        <v>617</v>
      </c>
      <c r="F127" s="291">
        <v>112312</v>
      </c>
      <c r="G127" s="135"/>
      <c r="H127" s="136">
        <v>15516</v>
      </c>
      <c r="I127" s="136"/>
      <c r="J127" s="136"/>
      <c r="K127" s="291">
        <f t="shared" si="5"/>
        <v>127828</v>
      </c>
      <c r="L127" s="291">
        <v>83562</v>
      </c>
      <c r="M127" s="291">
        <f t="shared" si="6"/>
        <v>-28750</v>
      </c>
      <c r="N127" s="282">
        <f t="shared" si="7"/>
        <v>-0.25598333214616426</v>
      </c>
      <c r="O127" s="291">
        <f t="shared" si="8"/>
        <v>-44266</v>
      </c>
      <c r="P127" s="282">
        <f t="shared" si="9"/>
        <v>-0.34629345683261881</v>
      </c>
    </row>
    <row r="128" spans="1:16" s="10" customFormat="1">
      <c r="A128" s="135"/>
      <c r="B128" s="135"/>
      <c r="C128" s="482"/>
      <c r="D128" s="482"/>
      <c r="E128" s="130" t="s">
        <v>47</v>
      </c>
      <c r="F128" s="124">
        <v>39611</v>
      </c>
      <c r="G128" s="135"/>
      <c r="H128" s="272">
        <v>2527</v>
      </c>
      <c r="I128" s="272"/>
      <c r="J128" s="136"/>
      <c r="K128" s="124">
        <f t="shared" si="5"/>
        <v>42138</v>
      </c>
      <c r="L128" s="124">
        <v>38864</v>
      </c>
      <c r="M128" s="124">
        <f t="shared" si="6"/>
        <v>-747</v>
      </c>
      <c r="N128" s="270">
        <f t="shared" si="7"/>
        <v>-1.8858397919769759E-2</v>
      </c>
      <c r="O128" s="124">
        <f t="shared" si="8"/>
        <v>-3274</v>
      </c>
      <c r="P128" s="270">
        <f t="shared" si="9"/>
        <v>-7.7697090512126823E-2</v>
      </c>
    </row>
    <row r="129" spans="1:16" s="10" customFormat="1">
      <c r="A129" s="135"/>
      <c r="B129" s="135"/>
      <c r="C129" s="482"/>
      <c r="D129" s="482"/>
      <c r="E129" s="285"/>
      <c r="F129" s="286"/>
      <c r="G129" s="135"/>
      <c r="H129" s="136"/>
      <c r="I129" s="136"/>
      <c r="J129" s="136"/>
      <c r="K129" s="286">
        <f t="shared" si="5"/>
        <v>0</v>
      </c>
      <c r="L129" s="286">
        <v>0</v>
      </c>
      <c r="M129" s="286">
        <f t="shared" si="6"/>
        <v>0</v>
      </c>
      <c r="N129" s="287"/>
      <c r="O129" s="286">
        <f t="shared" si="8"/>
        <v>0</v>
      </c>
      <c r="P129" s="287"/>
    </row>
    <row r="130" spans="1:16" s="10" customFormat="1">
      <c r="A130" s="135"/>
      <c r="B130" s="135"/>
      <c r="C130" s="482"/>
      <c r="D130" s="482"/>
      <c r="E130" s="307" t="s">
        <v>224</v>
      </c>
      <c r="F130" s="125">
        <v>112312</v>
      </c>
      <c r="G130" s="135"/>
      <c r="H130" s="272">
        <v>15516</v>
      </c>
      <c r="I130" s="272"/>
      <c r="J130" s="136"/>
      <c r="K130" s="125">
        <f t="shared" si="5"/>
        <v>127828</v>
      </c>
      <c r="L130" s="125">
        <v>83562</v>
      </c>
      <c r="M130" s="125">
        <f t="shared" si="6"/>
        <v>-28750</v>
      </c>
      <c r="N130" s="284">
        <f t="shared" si="7"/>
        <v>-0.25598333214616426</v>
      </c>
      <c r="O130" s="125">
        <f t="shared" si="8"/>
        <v>-44266</v>
      </c>
      <c r="P130" s="284">
        <f t="shared" si="9"/>
        <v>-0.34629345683261881</v>
      </c>
    </row>
    <row r="131" spans="1:16" s="10" customFormat="1">
      <c r="A131" s="135"/>
      <c r="B131" s="135"/>
      <c r="C131" s="482"/>
      <c r="D131" s="482"/>
      <c r="E131" s="290"/>
      <c r="F131" s="291"/>
      <c r="G131" s="135"/>
      <c r="H131" s="136"/>
      <c r="I131" s="136"/>
      <c r="J131" s="136"/>
      <c r="K131" s="291">
        <f t="shared" si="5"/>
        <v>0</v>
      </c>
      <c r="L131" s="291">
        <v>0</v>
      </c>
      <c r="M131" s="291">
        <f t="shared" si="6"/>
        <v>0</v>
      </c>
      <c r="N131" s="282"/>
      <c r="O131" s="291">
        <f t="shared" si="8"/>
        <v>0</v>
      </c>
      <c r="P131" s="282"/>
    </row>
    <row r="132" spans="1:16" s="10" customFormat="1" ht="26.4">
      <c r="A132" s="135" t="s">
        <v>672</v>
      </c>
      <c r="B132" s="135" t="s">
        <v>609</v>
      </c>
      <c r="C132" s="537"/>
      <c r="D132" s="537"/>
      <c r="E132" s="292" t="s">
        <v>504</v>
      </c>
      <c r="F132" s="281">
        <v>8008</v>
      </c>
      <c r="G132" s="135"/>
      <c r="H132" s="136"/>
      <c r="I132" s="136"/>
      <c r="J132" s="136"/>
      <c r="K132" s="281">
        <f t="shared" si="5"/>
        <v>8008</v>
      </c>
      <c r="L132" s="281">
        <v>0</v>
      </c>
      <c r="M132" s="281">
        <f t="shared" si="6"/>
        <v>-8008</v>
      </c>
      <c r="N132" s="282">
        <f t="shared" si="7"/>
        <v>-1</v>
      </c>
      <c r="O132" s="281">
        <f t="shared" si="8"/>
        <v>-8008</v>
      </c>
      <c r="P132" s="282">
        <f t="shared" si="9"/>
        <v>-1</v>
      </c>
    </row>
    <row r="133" spans="1:16" s="10" customFormat="1">
      <c r="A133" s="135"/>
      <c r="B133" s="135"/>
      <c r="C133" s="482"/>
      <c r="D133" s="482"/>
      <c r="E133" s="130" t="s">
        <v>47</v>
      </c>
      <c r="F133" s="124">
        <v>1744</v>
      </c>
      <c r="G133" s="135"/>
      <c r="H133" s="136"/>
      <c r="I133" s="136"/>
      <c r="J133" s="136"/>
      <c r="K133" s="124">
        <f t="shared" si="5"/>
        <v>1744</v>
      </c>
      <c r="L133" s="124">
        <v>0</v>
      </c>
      <c r="M133" s="124">
        <f t="shared" si="6"/>
        <v>-1744</v>
      </c>
      <c r="N133" s="270">
        <f t="shared" si="7"/>
        <v>-1</v>
      </c>
      <c r="O133" s="124">
        <f t="shared" si="8"/>
        <v>-1744</v>
      </c>
      <c r="P133" s="270">
        <f t="shared" si="9"/>
        <v>-1</v>
      </c>
    </row>
    <row r="134" spans="1:16" s="10" customFormat="1">
      <c r="A134" s="135"/>
      <c r="B134" s="135"/>
      <c r="C134" s="482"/>
      <c r="D134" s="482"/>
      <c r="F134" s="136"/>
      <c r="G134" s="135"/>
      <c r="H134" s="136"/>
      <c r="I134" s="136"/>
      <c r="J134" s="136"/>
      <c r="K134" s="136">
        <f t="shared" si="5"/>
        <v>0</v>
      </c>
      <c r="L134" s="136">
        <v>0</v>
      </c>
      <c r="M134" s="136">
        <f t="shared" si="6"/>
        <v>0</v>
      </c>
      <c r="N134" s="157"/>
      <c r="O134" s="136">
        <f t="shared" si="8"/>
        <v>0</v>
      </c>
      <c r="P134" s="157"/>
    </row>
    <row r="135" spans="1:16" s="10" customFormat="1">
      <c r="A135" s="135"/>
      <c r="B135" s="135"/>
      <c r="C135" s="482"/>
      <c r="D135" s="482"/>
      <c r="E135" s="307" t="s">
        <v>224</v>
      </c>
      <c r="F135" s="125">
        <v>6806</v>
      </c>
      <c r="G135" s="135"/>
      <c r="H135" s="136"/>
      <c r="I135" s="136"/>
      <c r="J135" s="136"/>
      <c r="K135" s="125">
        <f t="shared" si="5"/>
        <v>6806</v>
      </c>
      <c r="L135" s="125">
        <v>0</v>
      </c>
      <c r="M135" s="125">
        <f t="shared" si="6"/>
        <v>-6806</v>
      </c>
      <c r="N135" s="284">
        <f t="shared" si="7"/>
        <v>-1</v>
      </c>
      <c r="O135" s="125">
        <f t="shared" si="8"/>
        <v>-6806</v>
      </c>
      <c r="P135" s="284">
        <f t="shared" si="9"/>
        <v>-1</v>
      </c>
    </row>
    <row r="136" spans="1:16" s="10" customFormat="1">
      <c r="A136" s="135"/>
      <c r="B136" s="135"/>
      <c r="C136" s="482"/>
      <c r="D136" s="482"/>
      <c r="E136" s="307"/>
      <c r="F136" s="125"/>
      <c r="G136" s="135"/>
      <c r="H136" s="136"/>
      <c r="I136" s="136"/>
      <c r="J136" s="136"/>
      <c r="K136" s="125">
        <f t="shared" ref="K136:K199" si="10">F136+G136+H136+J136+I136</f>
        <v>0</v>
      </c>
      <c r="L136" s="125">
        <v>0</v>
      </c>
      <c r="M136" s="125">
        <f t="shared" ref="M136:M199" si="11">L136-F136</f>
        <v>0</v>
      </c>
      <c r="N136" s="284"/>
      <c r="O136" s="125">
        <f t="shared" ref="O136:O199" si="12">L136-K136</f>
        <v>0</v>
      </c>
      <c r="P136" s="284"/>
    </row>
    <row r="137" spans="1:16" s="10" customFormat="1" ht="26.4">
      <c r="A137" s="135" t="s">
        <v>670</v>
      </c>
      <c r="B137" s="135" t="s">
        <v>609</v>
      </c>
      <c r="C137" s="537"/>
      <c r="D137" s="537"/>
      <c r="E137" s="292" t="s">
        <v>505</v>
      </c>
      <c r="F137" s="281">
        <v>25000</v>
      </c>
      <c r="G137" s="135"/>
      <c r="H137" s="136">
        <v>328</v>
      </c>
      <c r="I137" s="136"/>
      <c r="J137" s="136"/>
      <c r="K137" s="281">
        <f t="shared" si="10"/>
        <v>25328</v>
      </c>
      <c r="L137" s="281">
        <v>10876</v>
      </c>
      <c r="M137" s="281">
        <f t="shared" si="11"/>
        <v>-14124</v>
      </c>
      <c r="N137" s="282">
        <f t="shared" ref="N137:N197" si="13">M137/F137</f>
        <v>-0.56496000000000002</v>
      </c>
      <c r="O137" s="281">
        <f t="shared" si="12"/>
        <v>-14452</v>
      </c>
      <c r="P137" s="282">
        <f t="shared" ref="P137:P197" si="14">O137/K137</f>
        <v>-0.5705938092229943</v>
      </c>
    </row>
    <row r="138" spans="1:16" s="10" customFormat="1">
      <c r="A138" s="135"/>
      <c r="B138" s="135"/>
      <c r="C138" s="482"/>
      <c r="D138" s="482"/>
      <c r="E138" s="130" t="s">
        <v>47</v>
      </c>
      <c r="F138" s="124">
        <v>9000</v>
      </c>
      <c r="G138" s="135"/>
      <c r="H138" s="136"/>
      <c r="I138" s="136"/>
      <c r="J138" s="136"/>
      <c r="K138" s="124">
        <f t="shared" si="10"/>
        <v>9000</v>
      </c>
      <c r="L138" s="124">
        <v>5900</v>
      </c>
      <c r="M138" s="124">
        <f t="shared" si="11"/>
        <v>-3100</v>
      </c>
      <c r="N138" s="270">
        <f t="shared" si="13"/>
        <v>-0.34444444444444444</v>
      </c>
      <c r="O138" s="124">
        <f t="shared" si="12"/>
        <v>-3100</v>
      </c>
      <c r="P138" s="270">
        <f t="shared" si="14"/>
        <v>-0.34444444444444444</v>
      </c>
    </row>
    <row r="139" spans="1:16" s="10" customFormat="1">
      <c r="A139" s="135"/>
      <c r="B139" s="135"/>
      <c r="C139" s="482"/>
      <c r="D139" s="482"/>
      <c r="F139" s="136"/>
      <c r="G139" s="135"/>
      <c r="H139" s="136"/>
      <c r="I139" s="136"/>
      <c r="J139" s="136"/>
      <c r="K139" s="136">
        <f t="shared" si="10"/>
        <v>0</v>
      </c>
      <c r="L139" s="136">
        <v>0</v>
      </c>
      <c r="M139" s="136">
        <f t="shared" si="11"/>
        <v>0</v>
      </c>
      <c r="N139" s="157"/>
      <c r="O139" s="136">
        <f t="shared" si="12"/>
        <v>0</v>
      </c>
      <c r="P139" s="157"/>
    </row>
    <row r="140" spans="1:16" s="10" customFormat="1">
      <c r="A140" s="135"/>
      <c r="B140" s="135"/>
      <c r="C140" s="482"/>
      <c r="D140" s="482"/>
      <c r="E140" s="307" t="s">
        <v>224</v>
      </c>
      <c r="F140" s="125">
        <v>25000</v>
      </c>
      <c r="G140" s="135"/>
      <c r="H140" s="272">
        <v>328</v>
      </c>
      <c r="I140" s="272"/>
      <c r="J140" s="136"/>
      <c r="K140" s="125">
        <f t="shared" si="10"/>
        <v>25328</v>
      </c>
      <c r="L140" s="125">
        <v>10876</v>
      </c>
      <c r="M140" s="125">
        <f t="shared" si="11"/>
        <v>-14124</v>
      </c>
      <c r="N140" s="284">
        <f t="shared" si="13"/>
        <v>-0.56496000000000002</v>
      </c>
      <c r="O140" s="125">
        <f t="shared" si="12"/>
        <v>-14452</v>
      </c>
      <c r="P140" s="284">
        <f t="shared" si="14"/>
        <v>-0.5705938092229943</v>
      </c>
    </row>
    <row r="141" spans="1:16" s="10" customFormat="1">
      <c r="A141" s="135"/>
      <c r="B141" s="135"/>
      <c r="C141" s="482"/>
      <c r="D141" s="482"/>
      <c r="E141" s="307"/>
      <c r="F141" s="125"/>
      <c r="G141" s="135"/>
      <c r="H141" s="136"/>
      <c r="I141" s="136"/>
      <c r="J141" s="136"/>
      <c r="K141" s="125">
        <f t="shared" si="10"/>
        <v>0</v>
      </c>
      <c r="L141" s="125">
        <v>0</v>
      </c>
      <c r="M141" s="125">
        <f t="shared" si="11"/>
        <v>0</v>
      </c>
      <c r="N141" s="284"/>
      <c r="O141" s="125">
        <f t="shared" si="12"/>
        <v>0</v>
      </c>
      <c r="P141" s="284"/>
    </row>
    <row r="142" spans="1:16" s="10" customFormat="1" ht="26.4">
      <c r="A142" s="135" t="s">
        <v>688</v>
      </c>
      <c r="B142" s="135" t="s">
        <v>609</v>
      </c>
      <c r="C142" s="537"/>
      <c r="D142" s="537"/>
      <c r="E142" s="292" t="s">
        <v>540</v>
      </c>
      <c r="F142" s="281">
        <v>208728</v>
      </c>
      <c r="G142" s="135"/>
      <c r="H142" s="136"/>
      <c r="I142" s="136"/>
      <c r="J142" s="136"/>
      <c r="K142" s="281">
        <f t="shared" si="10"/>
        <v>208728</v>
      </c>
      <c r="L142" s="281">
        <v>0</v>
      </c>
      <c r="M142" s="281">
        <f t="shared" si="11"/>
        <v>-208728</v>
      </c>
      <c r="N142" s="282">
        <f t="shared" si="13"/>
        <v>-1</v>
      </c>
      <c r="O142" s="281">
        <f t="shared" si="12"/>
        <v>-208728</v>
      </c>
      <c r="P142" s="282">
        <f t="shared" si="14"/>
        <v>-1</v>
      </c>
    </row>
    <row r="143" spans="1:16" s="10" customFormat="1">
      <c r="A143" s="135"/>
      <c r="B143" s="135"/>
      <c r="C143" s="482"/>
      <c r="D143" s="482"/>
      <c r="E143" s="130" t="s">
        <v>47</v>
      </c>
      <c r="F143" s="124">
        <v>70919</v>
      </c>
      <c r="G143" s="135"/>
      <c r="H143" s="136"/>
      <c r="I143" s="272">
        <v>20606</v>
      </c>
      <c r="J143" s="136"/>
      <c r="K143" s="124">
        <f t="shared" si="10"/>
        <v>91525</v>
      </c>
      <c r="L143" s="124">
        <v>0</v>
      </c>
      <c r="M143" s="124">
        <f t="shared" si="11"/>
        <v>-70919</v>
      </c>
      <c r="N143" s="270">
        <f t="shared" si="13"/>
        <v>-1</v>
      </c>
      <c r="O143" s="124">
        <f t="shared" si="12"/>
        <v>-91525</v>
      </c>
      <c r="P143" s="270">
        <f t="shared" si="14"/>
        <v>-1</v>
      </c>
    </row>
    <row r="144" spans="1:16" s="135" customFormat="1">
      <c r="C144" s="482"/>
      <c r="D144" s="482"/>
      <c r="E144" s="10"/>
      <c r="F144" s="136"/>
      <c r="H144" s="136"/>
      <c r="I144" s="136"/>
      <c r="J144" s="136"/>
      <c r="K144" s="136">
        <f t="shared" si="10"/>
        <v>0</v>
      </c>
      <c r="L144" s="136">
        <v>0</v>
      </c>
      <c r="M144" s="136">
        <f t="shared" si="11"/>
        <v>0</v>
      </c>
      <c r="N144" s="157"/>
      <c r="O144" s="136">
        <f t="shared" si="12"/>
        <v>0</v>
      </c>
      <c r="P144" s="157"/>
    </row>
    <row r="145" spans="1:16" s="135" customFormat="1">
      <c r="C145" s="482"/>
      <c r="D145" s="482"/>
      <c r="E145" s="307" t="s">
        <v>224</v>
      </c>
      <c r="F145" s="125">
        <v>177419</v>
      </c>
      <c r="H145" s="136"/>
      <c r="I145" s="136"/>
      <c r="J145" s="136"/>
      <c r="K145" s="125">
        <f t="shared" si="10"/>
        <v>177419</v>
      </c>
      <c r="L145" s="125">
        <v>0</v>
      </c>
      <c r="M145" s="125">
        <f t="shared" si="11"/>
        <v>-177419</v>
      </c>
      <c r="N145" s="284">
        <f t="shared" si="13"/>
        <v>-1</v>
      </c>
      <c r="O145" s="125">
        <f t="shared" si="12"/>
        <v>-177419</v>
      </c>
      <c r="P145" s="284">
        <f t="shared" si="14"/>
        <v>-1</v>
      </c>
    </row>
    <row r="146" spans="1:16" s="135" customFormat="1">
      <c r="C146" s="482"/>
      <c r="D146" s="482"/>
      <c r="E146" s="307"/>
      <c r="F146" s="125"/>
      <c r="H146" s="136"/>
      <c r="I146" s="136"/>
      <c r="J146" s="136"/>
      <c r="K146" s="125">
        <f t="shared" si="10"/>
        <v>0</v>
      </c>
      <c r="L146" s="125">
        <v>0</v>
      </c>
      <c r="M146" s="125">
        <f t="shared" si="11"/>
        <v>0</v>
      </c>
      <c r="N146" s="284"/>
      <c r="O146" s="125">
        <f t="shared" si="12"/>
        <v>0</v>
      </c>
      <c r="P146" s="284"/>
    </row>
    <row r="147" spans="1:16" s="10" customFormat="1" ht="39.6">
      <c r="A147" s="516" t="s">
        <v>670</v>
      </c>
      <c r="B147" s="516" t="s">
        <v>609</v>
      </c>
      <c r="C147" s="537"/>
      <c r="D147" s="537"/>
      <c r="E147" s="292" t="s">
        <v>838</v>
      </c>
      <c r="F147" s="281">
        <v>658372</v>
      </c>
      <c r="G147" s="135"/>
      <c r="H147" s="136"/>
      <c r="I147" s="136"/>
      <c r="J147" s="136"/>
      <c r="K147" s="281">
        <f t="shared" si="10"/>
        <v>658372</v>
      </c>
      <c r="L147" s="281">
        <v>451964</v>
      </c>
      <c r="M147" s="281">
        <f t="shared" si="11"/>
        <v>-206408</v>
      </c>
      <c r="N147" s="282">
        <f t="shared" si="13"/>
        <v>-0.31351272532853769</v>
      </c>
      <c r="O147" s="281">
        <f t="shared" si="12"/>
        <v>-206408</v>
      </c>
      <c r="P147" s="282">
        <f t="shared" si="14"/>
        <v>-0.31351272532853769</v>
      </c>
    </row>
    <row r="148" spans="1:16" s="10" customFormat="1">
      <c r="A148" s="135"/>
      <c r="B148" s="135"/>
      <c r="C148" s="482"/>
      <c r="D148" s="482"/>
      <c r="E148" s="130" t="s">
        <v>47</v>
      </c>
      <c r="F148" s="124">
        <v>15188</v>
      </c>
      <c r="G148" s="135"/>
      <c r="H148" s="136"/>
      <c r="I148" s="136"/>
      <c r="J148" s="136"/>
      <c r="K148" s="124">
        <f t="shared" si="10"/>
        <v>15188</v>
      </c>
      <c r="L148" s="124">
        <v>1259</v>
      </c>
      <c r="M148" s="124">
        <f t="shared" si="11"/>
        <v>-13929</v>
      </c>
      <c r="N148" s="270">
        <f t="shared" si="13"/>
        <v>-0.91710560969186194</v>
      </c>
      <c r="O148" s="124">
        <f t="shared" si="12"/>
        <v>-13929</v>
      </c>
      <c r="P148" s="270">
        <f t="shared" si="14"/>
        <v>-0.91710560969186194</v>
      </c>
    </row>
    <row r="149" spans="1:16" s="10" customFormat="1">
      <c r="A149" s="135"/>
      <c r="B149" s="135"/>
      <c r="C149" s="482"/>
      <c r="D149" s="482"/>
      <c r="F149" s="136"/>
      <c r="G149" s="135"/>
      <c r="H149" s="136"/>
      <c r="I149" s="136"/>
      <c r="J149" s="136"/>
      <c r="K149" s="136">
        <f t="shared" si="10"/>
        <v>0</v>
      </c>
      <c r="L149" s="136">
        <v>0</v>
      </c>
      <c r="M149" s="136">
        <f t="shared" si="11"/>
        <v>0</v>
      </c>
      <c r="N149" s="157"/>
      <c r="O149" s="136">
        <f t="shared" si="12"/>
        <v>0</v>
      </c>
      <c r="P149" s="157"/>
    </row>
    <row r="150" spans="1:16" s="10" customFormat="1">
      <c r="A150" s="135"/>
      <c r="B150" s="135"/>
      <c r="C150" s="482"/>
      <c r="D150" s="482"/>
      <c r="E150" s="307" t="s">
        <v>224</v>
      </c>
      <c r="F150" s="125">
        <v>658372</v>
      </c>
      <c r="G150" s="135"/>
      <c r="H150" s="136"/>
      <c r="I150" s="136"/>
      <c r="J150" s="136"/>
      <c r="K150" s="125">
        <f t="shared" si="10"/>
        <v>658372</v>
      </c>
      <c r="L150" s="125">
        <v>450279</v>
      </c>
      <c r="M150" s="125">
        <f t="shared" si="11"/>
        <v>-208093</v>
      </c>
      <c r="N150" s="284">
        <f t="shared" si="13"/>
        <v>-0.31607206867849785</v>
      </c>
      <c r="O150" s="125">
        <f t="shared" si="12"/>
        <v>-208093</v>
      </c>
      <c r="P150" s="284">
        <f t="shared" si="14"/>
        <v>-0.31607206867849785</v>
      </c>
    </row>
    <row r="151" spans="1:16" s="10" customFormat="1">
      <c r="A151" s="135"/>
      <c r="B151" s="135"/>
      <c r="C151" s="482"/>
      <c r="D151" s="482"/>
      <c r="E151" s="307"/>
      <c r="F151" s="125"/>
      <c r="G151" s="135"/>
      <c r="H151" s="136"/>
      <c r="I151" s="136"/>
      <c r="J151" s="136"/>
      <c r="K151" s="125">
        <f t="shared" si="10"/>
        <v>0</v>
      </c>
      <c r="L151" s="125">
        <v>0</v>
      </c>
      <c r="M151" s="125">
        <f t="shared" si="11"/>
        <v>0</v>
      </c>
      <c r="N151" s="284"/>
      <c r="O151" s="125">
        <f t="shared" si="12"/>
        <v>0</v>
      </c>
      <c r="P151" s="284"/>
    </row>
    <row r="152" spans="1:16" s="10" customFormat="1" ht="39.6">
      <c r="A152" s="135" t="s">
        <v>688</v>
      </c>
      <c r="B152" s="135" t="s">
        <v>609</v>
      </c>
      <c r="C152" s="537"/>
      <c r="D152" s="537"/>
      <c r="E152" s="292" t="s">
        <v>731</v>
      </c>
      <c r="F152" s="281">
        <v>142500</v>
      </c>
      <c r="G152" s="135"/>
      <c r="H152" s="136"/>
      <c r="I152" s="136"/>
      <c r="J152" s="136"/>
      <c r="K152" s="281">
        <f t="shared" si="10"/>
        <v>142500</v>
      </c>
      <c r="L152" s="281">
        <v>98000</v>
      </c>
      <c r="M152" s="281">
        <f t="shared" si="11"/>
        <v>-44500</v>
      </c>
      <c r="N152" s="282">
        <f t="shared" si="13"/>
        <v>-0.31228070175438599</v>
      </c>
      <c r="O152" s="281">
        <f t="shared" si="12"/>
        <v>-44500</v>
      </c>
      <c r="P152" s="282">
        <f t="shared" si="14"/>
        <v>-0.31228070175438599</v>
      </c>
    </row>
    <row r="153" spans="1:16" s="10" customFormat="1">
      <c r="A153" s="135"/>
      <c r="B153" s="135"/>
      <c r="C153" s="482"/>
      <c r="D153" s="482"/>
      <c r="E153" s="130" t="s">
        <v>47</v>
      </c>
      <c r="F153" s="124">
        <v>37369</v>
      </c>
      <c r="G153" s="135"/>
      <c r="H153" s="136"/>
      <c r="I153" s="136"/>
      <c r="J153" s="136"/>
      <c r="K153" s="124">
        <f t="shared" si="10"/>
        <v>37369</v>
      </c>
      <c r="L153" s="124">
        <v>37369</v>
      </c>
      <c r="M153" s="124">
        <f t="shared" si="11"/>
        <v>0</v>
      </c>
      <c r="N153" s="270">
        <f t="shared" si="13"/>
        <v>0</v>
      </c>
      <c r="O153" s="124">
        <f t="shared" si="12"/>
        <v>0</v>
      </c>
      <c r="P153" s="270">
        <f t="shared" si="14"/>
        <v>0</v>
      </c>
    </row>
    <row r="154" spans="1:16" s="10" customFormat="1">
      <c r="A154" s="135"/>
      <c r="B154" s="135"/>
      <c r="C154" s="482"/>
      <c r="D154" s="482"/>
      <c r="F154" s="136"/>
      <c r="G154" s="135"/>
      <c r="H154" s="136"/>
      <c r="I154" s="136"/>
      <c r="J154" s="136"/>
      <c r="K154" s="136">
        <f t="shared" si="10"/>
        <v>0</v>
      </c>
      <c r="L154" s="136">
        <v>0</v>
      </c>
      <c r="M154" s="136">
        <f t="shared" si="11"/>
        <v>0</v>
      </c>
      <c r="N154" s="157"/>
      <c r="O154" s="136">
        <f t="shared" si="12"/>
        <v>0</v>
      </c>
      <c r="P154" s="157"/>
    </row>
    <row r="155" spans="1:16" s="10" customFormat="1">
      <c r="A155" s="135"/>
      <c r="B155" s="135"/>
      <c r="C155" s="482"/>
      <c r="D155" s="482"/>
      <c r="E155" s="307" t="s">
        <v>224</v>
      </c>
      <c r="F155" s="125">
        <v>142500</v>
      </c>
      <c r="G155" s="135"/>
      <c r="H155" s="136"/>
      <c r="I155" s="136"/>
      <c r="J155" s="136"/>
      <c r="K155" s="125">
        <f t="shared" si="10"/>
        <v>142500</v>
      </c>
      <c r="L155" s="125">
        <v>98000</v>
      </c>
      <c r="M155" s="125">
        <f t="shared" si="11"/>
        <v>-44500</v>
      </c>
      <c r="N155" s="284">
        <f t="shared" si="13"/>
        <v>-0.31228070175438599</v>
      </c>
      <c r="O155" s="125">
        <f t="shared" si="12"/>
        <v>-44500</v>
      </c>
      <c r="P155" s="284">
        <f t="shared" si="14"/>
        <v>-0.31228070175438599</v>
      </c>
    </row>
    <row r="156" spans="1:16" s="147" customFormat="1">
      <c r="C156" s="536"/>
      <c r="D156" s="536"/>
      <c r="E156" s="307"/>
      <c r="F156" s="125"/>
      <c r="H156" s="309"/>
      <c r="I156" s="309"/>
      <c r="J156" s="309"/>
      <c r="K156" s="125">
        <f t="shared" si="10"/>
        <v>0</v>
      </c>
      <c r="L156" s="125">
        <v>0</v>
      </c>
      <c r="M156" s="125">
        <f t="shared" si="11"/>
        <v>0</v>
      </c>
      <c r="N156" s="284"/>
      <c r="O156" s="125">
        <f t="shared" si="12"/>
        <v>0</v>
      </c>
      <c r="P156" s="284"/>
    </row>
    <row r="157" spans="1:16" s="147" customFormat="1" ht="26.4">
      <c r="A157" s="147" t="s">
        <v>678</v>
      </c>
      <c r="B157" s="147" t="s">
        <v>609</v>
      </c>
      <c r="C157" s="537"/>
      <c r="D157" s="537"/>
      <c r="E157" s="292" t="s">
        <v>732</v>
      </c>
      <c r="F157" s="281">
        <v>67600</v>
      </c>
      <c r="H157" s="309"/>
      <c r="I157" s="309"/>
      <c r="J157" s="309"/>
      <c r="K157" s="281">
        <f t="shared" si="10"/>
        <v>67600</v>
      </c>
      <c r="L157" s="281">
        <v>11500</v>
      </c>
      <c r="M157" s="281">
        <f t="shared" si="11"/>
        <v>-56100</v>
      </c>
      <c r="N157" s="282">
        <f t="shared" si="13"/>
        <v>-0.82988165680473369</v>
      </c>
      <c r="O157" s="281">
        <f t="shared" si="12"/>
        <v>-56100</v>
      </c>
      <c r="P157" s="282">
        <f t="shared" si="14"/>
        <v>-0.82988165680473369</v>
      </c>
    </row>
    <row r="158" spans="1:16" s="147" customFormat="1">
      <c r="C158" s="536"/>
      <c r="D158" s="536"/>
      <c r="E158" s="130" t="s">
        <v>47</v>
      </c>
      <c r="F158" s="124">
        <v>17937</v>
      </c>
      <c r="H158" s="309"/>
      <c r="I158" s="309"/>
      <c r="J158" s="309"/>
      <c r="K158" s="124">
        <f t="shared" si="10"/>
        <v>17937</v>
      </c>
      <c r="L158" s="124">
        <v>7474</v>
      </c>
      <c r="M158" s="124">
        <f t="shared" si="11"/>
        <v>-10463</v>
      </c>
      <c r="N158" s="270">
        <f t="shared" si="13"/>
        <v>-0.58331939566259683</v>
      </c>
      <c r="O158" s="124">
        <f t="shared" si="12"/>
        <v>-10463</v>
      </c>
      <c r="P158" s="270">
        <f t="shared" si="14"/>
        <v>-0.58331939566259683</v>
      </c>
    </row>
    <row r="159" spans="1:16" s="147" customFormat="1">
      <c r="C159" s="536"/>
      <c r="D159" s="536"/>
      <c r="E159" s="10"/>
      <c r="F159" s="136"/>
      <c r="H159" s="309"/>
      <c r="I159" s="309"/>
      <c r="J159" s="309"/>
      <c r="K159" s="136">
        <f t="shared" si="10"/>
        <v>0</v>
      </c>
      <c r="L159" s="136">
        <v>0</v>
      </c>
      <c r="M159" s="136">
        <f t="shared" si="11"/>
        <v>0</v>
      </c>
      <c r="N159" s="157"/>
      <c r="O159" s="136">
        <f t="shared" si="12"/>
        <v>0</v>
      </c>
      <c r="P159" s="157"/>
    </row>
    <row r="160" spans="1:16" s="147" customFormat="1">
      <c r="C160" s="536"/>
      <c r="D160" s="536"/>
      <c r="E160" s="307" t="s">
        <v>224</v>
      </c>
      <c r="F160" s="125">
        <v>67600</v>
      </c>
      <c r="H160" s="309"/>
      <c r="I160" s="309"/>
      <c r="J160" s="309"/>
      <c r="K160" s="125">
        <f t="shared" si="10"/>
        <v>67600</v>
      </c>
      <c r="L160" s="125">
        <v>11500</v>
      </c>
      <c r="M160" s="125">
        <f t="shared" si="11"/>
        <v>-56100</v>
      </c>
      <c r="N160" s="284">
        <f t="shared" si="13"/>
        <v>-0.82988165680473369</v>
      </c>
      <c r="O160" s="125">
        <f t="shared" si="12"/>
        <v>-56100</v>
      </c>
      <c r="P160" s="284">
        <f t="shared" si="14"/>
        <v>-0.82988165680473369</v>
      </c>
    </row>
    <row r="161" spans="1:16" s="10" customFormat="1">
      <c r="A161" s="135"/>
      <c r="B161" s="135"/>
      <c r="C161" s="482"/>
      <c r="D161" s="482"/>
      <c r="E161" s="307"/>
      <c r="F161" s="125"/>
      <c r="G161" s="135"/>
      <c r="H161" s="136"/>
      <c r="I161" s="136"/>
      <c r="J161" s="136"/>
      <c r="K161" s="125">
        <f t="shared" si="10"/>
        <v>0</v>
      </c>
      <c r="L161" s="125">
        <v>0</v>
      </c>
      <c r="M161" s="125">
        <f t="shared" si="11"/>
        <v>0</v>
      </c>
      <c r="N161" s="284"/>
      <c r="O161" s="125">
        <f t="shared" si="12"/>
        <v>0</v>
      </c>
      <c r="P161" s="284"/>
    </row>
    <row r="162" spans="1:16" s="10" customFormat="1" ht="26.4">
      <c r="A162" s="135" t="s">
        <v>683</v>
      </c>
      <c r="B162" s="135" t="s">
        <v>609</v>
      </c>
      <c r="C162" s="537"/>
      <c r="D162" s="537"/>
      <c r="E162" s="292" t="s">
        <v>839</v>
      </c>
      <c r="F162" s="281">
        <v>88751</v>
      </c>
      <c r="G162" s="135"/>
      <c r="H162" s="136"/>
      <c r="I162" s="136"/>
      <c r="J162" s="136"/>
      <c r="K162" s="281">
        <f t="shared" si="10"/>
        <v>88751</v>
      </c>
      <c r="L162" s="125">
        <v>0</v>
      </c>
      <c r="M162" s="125">
        <f t="shared" si="11"/>
        <v>-88751</v>
      </c>
      <c r="N162" s="284">
        <f t="shared" si="13"/>
        <v>-1</v>
      </c>
      <c r="O162" s="125">
        <f t="shared" si="12"/>
        <v>-88751</v>
      </c>
      <c r="P162" s="284">
        <f t="shared" si="14"/>
        <v>-1</v>
      </c>
    </row>
    <row r="163" spans="1:16" s="10" customFormat="1">
      <c r="A163" s="135"/>
      <c r="B163" s="135"/>
      <c r="C163" s="482"/>
      <c r="D163" s="482"/>
      <c r="F163" s="136"/>
      <c r="G163" s="135"/>
      <c r="H163" s="136"/>
      <c r="I163" s="136"/>
      <c r="J163" s="136"/>
      <c r="K163" s="136">
        <f t="shared" si="10"/>
        <v>0</v>
      </c>
      <c r="L163" s="125">
        <v>0</v>
      </c>
      <c r="M163" s="125">
        <f t="shared" si="11"/>
        <v>0</v>
      </c>
      <c r="N163" s="284"/>
      <c r="O163" s="125">
        <f t="shared" si="12"/>
        <v>0</v>
      </c>
      <c r="P163" s="284"/>
    </row>
    <row r="164" spans="1:16" s="10" customFormat="1">
      <c r="A164" s="135"/>
      <c r="B164" s="135"/>
      <c r="C164" s="482"/>
      <c r="D164" s="482"/>
      <c r="E164" s="307" t="s">
        <v>224</v>
      </c>
      <c r="F164" s="125">
        <v>74813</v>
      </c>
      <c r="G164" s="135"/>
      <c r="H164" s="136"/>
      <c r="I164" s="136"/>
      <c r="J164" s="136"/>
      <c r="K164" s="125">
        <f t="shared" si="10"/>
        <v>74813</v>
      </c>
      <c r="L164" s="125">
        <v>0</v>
      </c>
      <c r="M164" s="125">
        <f t="shared" si="11"/>
        <v>-74813</v>
      </c>
      <c r="N164" s="284">
        <f t="shared" si="13"/>
        <v>-1</v>
      </c>
      <c r="O164" s="125">
        <f t="shared" si="12"/>
        <v>-74813</v>
      </c>
      <c r="P164" s="284">
        <f t="shared" si="14"/>
        <v>-1</v>
      </c>
    </row>
    <row r="165" spans="1:16" s="10" customFormat="1">
      <c r="A165" s="135"/>
      <c r="B165" s="135"/>
      <c r="C165" s="482"/>
      <c r="D165" s="482"/>
      <c r="E165" s="307"/>
      <c r="F165" s="125"/>
      <c r="G165" s="135"/>
      <c r="H165" s="136"/>
      <c r="I165" s="136"/>
      <c r="J165" s="136"/>
      <c r="K165" s="125">
        <f t="shared" si="10"/>
        <v>0</v>
      </c>
      <c r="L165" s="125">
        <v>0</v>
      </c>
      <c r="M165" s="125">
        <f t="shared" si="11"/>
        <v>0</v>
      </c>
      <c r="N165" s="284"/>
      <c r="O165" s="125">
        <f t="shared" si="12"/>
        <v>0</v>
      </c>
      <c r="P165" s="284"/>
    </row>
    <row r="166" spans="1:16" s="10" customFormat="1" ht="26.4">
      <c r="A166" s="77" t="s">
        <v>681</v>
      </c>
      <c r="B166" s="135" t="s">
        <v>609</v>
      </c>
      <c r="C166" s="537"/>
      <c r="D166" s="537"/>
      <c r="E166" s="292" t="s">
        <v>840</v>
      </c>
      <c r="F166" s="125"/>
      <c r="G166" s="135"/>
      <c r="H166" s="136">
        <v>7413</v>
      </c>
      <c r="I166" s="136"/>
      <c r="J166" s="136"/>
      <c r="K166" s="125">
        <f t="shared" si="10"/>
        <v>7413</v>
      </c>
      <c r="L166" s="291">
        <v>13225</v>
      </c>
      <c r="M166" s="291">
        <f t="shared" si="11"/>
        <v>13225</v>
      </c>
      <c r="N166" s="282"/>
      <c r="O166" s="291">
        <f t="shared" si="12"/>
        <v>5812</v>
      </c>
      <c r="P166" s="282">
        <f t="shared" si="14"/>
        <v>0.78402805881559423</v>
      </c>
    </row>
    <row r="167" spans="1:16" s="10" customFormat="1">
      <c r="A167" s="135"/>
      <c r="B167" s="135"/>
      <c r="C167" s="482"/>
      <c r="D167" s="482"/>
      <c r="E167" s="130" t="s">
        <v>47</v>
      </c>
      <c r="F167" s="125"/>
      <c r="G167" s="135"/>
      <c r="H167" s="272">
        <v>3924</v>
      </c>
      <c r="I167" s="272"/>
      <c r="J167" s="136"/>
      <c r="K167" s="125">
        <f t="shared" si="10"/>
        <v>3924</v>
      </c>
      <c r="L167" s="125">
        <v>7848</v>
      </c>
      <c r="M167" s="125">
        <f t="shared" si="11"/>
        <v>7848</v>
      </c>
      <c r="N167" s="284"/>
      <c r="O167" s="125">
        <f t="shared" si="12"/>
        <v>3924</v>
      </c>
      <c r="P167" s="284">
        <f t="shared" si="14"/>
        <v>1</v>
      </c>
    </row>
    <row r="168" spans="1:16" s="10" customFormat="1">
      <c r="A168" s="135"/>
      <c r="B168" s="135"/>
      <c r="C168" s="482"/>
      <c r="D168" s="482"/>
      <c r="F168" s="125"/>
      <c r="G168" s="135"/>
      <c r="H168" s="272"/>
      <c r="I168" s="272"/>
      <c r="J168" s="136"/>
      <c r="K168" s="125">
        <f t="shared" si="10"/>
        <v>0</v>
      </c>
      <c r="L168" s="125">
        <v>0</v>
      </c>
      <c r="M168" s="125">
        <f t="shared" si="11"/>
        <v>0</v>
      </c>
      <c r="N168" s="284"/>
      <c r="O168" s="125">
        <f t="shared" si="12"/>
        <v>0</v>
      </c>
      <c r="P168" s="284"/>
    </row>
    <row r="169" spans="1:16" s="10" customFormat="1">
      <c r="A169" s="135"/>
      <c r="B169" s="135"/>
      <c r="C169" s="482"/>
      <c r="D169" s="482"/>
      <c r="E169" s="307" t="s">
        <v>224</v>
      </c>
      <c r="F169" s="125"/>
      <c r="G169" s="135"/>
      <c r="H169" s="272">
        <v>7413</v>
      </c>
      <c r="I169" s="272"/>
      <c r="J169" s="136"/>
      <c r="K169" s="125">
        <f t="shared" si="10"/>
        <v>7413</v>
      </c>
      <c r="L169" s="125">
        <v>13225</v>
      </c>
      <c r="M169" s="125">
        <f t="shared" si="11"/>
        <v>13225</v>
      </c>
      <c r="N169" s="284"/>
      <c r="O169" s="125">
        <f t="shared" si="12"/>
        <v>5812</v>
      </c>
      <c r="P169" s="284">
        <f t="shared" si="14"/>
        <v>0.78402805881559423</v>
      </c>
    </row>
    <row r="170" spans="1:16" s="10" customFormat="1">
      <c r="A170" s="135"/>
      <c r="B170" s="135"/>
      <c r="C170" s="482"/>
      <c r="D170" s="482"/>
      <c r="E170" s="307"/>
      <c r="F170" s="125"/>
      <c r="G170" s="135"/>
      <c r="H170" s="272"/>
      <c r="I170" s="272"/>
      <c r="J170" s="136"/>
      <c r="K170" s="125">
        <f t="shared" si="10"/>
        <v>0</v>
      </c>
      <c r="L170" s="125">
        <v>0</v>
      </c>
      <c r="M170" s="125">
        <f t="shared" si="11"/>
        <v>0</v>
      </c>
      <c r="N170" s="284"/>
      <c r="O170" s="125">
        <f t="shared" si="12"/>
        <v>0</v>
      </c>
      <c r="P170" s="284"/>
    </row>
    <row r="171" spans="1:16" s="10" customFormat="1" ht="39.6">
      <c r="A171" s="135" t="s">
        <v>679</v>
      </c>
      <c r="B171" s="135" t="s">
        <v>609</v>
      </c>
      <c r="C171" s="482"/>
      <c r="D171" s="482"/>
      <c r="E171" s="522" t="s">
        <v>1057</v>
      </c>
      <c r="F171" s="125"/>
      <c r="G171" s="135"/>
      <c r="H171" s="272"/>
      <c r="I171" s="136">
        <v>16000</v>
      </c>
      <c r="J171" s="136"/>
      <c r="K171" s="291">
        <f t="shared" si="10"/>
        <v>16000</v>
      </c>
      <c r="L171" s="291">
        <v>60000</v>
      </c>
      <c r="M171" s="291">
        <f t="shared" si="11"/>
        <v>60000</v>
      </c>
      <c r="N171" s="282"/>
      <c r="O171" s="291">
        <f t="shared" si="12"/>
        <v>44000</v>
      </c>
      <c r="P171" s="282">
        <f t="shared" si="14"/>
        <v>2.75</v>
      </c>
    </row>
    <row r="172" spans="1:16" s="10" customFormat="1">
      <c r="A172" s="135"/>
      <c r="B172" s="135"/>
      <c r="C172" s="482"/>
      <c r="D172" s="482"/>
      <c r="E172" s="519" t="s">
        <v>47</v>
      </c>
      <c r="F172" s="125"/>
      <c r="G172" s="135"/>
      <c r="H172" s="272"/>
      <c r="I172" s="272">
        <v>9965</v>
      </c>
      <c r="J172" s="136"/>
      <c r="K172" s="125">
        <f t="shared" si="10"/>
        <v>9965</v>
      </c>
      <c r="L172" s="534">
        <v>29985</v>
      </c>
      <c r="M172" s="534">
        <f t="shared" si="11"/>
        <v>29985</v>
      </c>
      <c r="N172" s="652"/>
      <c r="O172" s="534">
        <f t="shared" si="12"/>
        <v>20020</v>
      </c>
      <c r="P172" s="652">
        <f t="shared" si="14"/>
        <v>2.0090316106372303</v>
      </c>
    </row>
    <row r="173" spans="1:16" s="10" customFormat="1">
      <c r="A173" s="135"/>
      <c r="B173" s="135"/>
      <c r="C173" s="482"/>
      <c r="D173" s="482"/>
      <c r="E173" s="520"/>
      <c r="F173" s="125"/>
      <c r="G173" s="135"/>
      <c r="H173" s="272"/>
      <c r="I173" s="272"/>
      <c r="J173" s="136"/>
      <c r="K173" s="125">
        <f t="shared" si="10"/>
        <v>0</v>
      </c>
      <c r="L173" s="125">
        <v>0</v>
      </c>
      <c r="M173" s="125">
        <f t="shared" si="11"/>
        <v>0</v>
      </c>
      <c r="N173" s="284"/>
      <c r="O173" s="125">
        <f t="shared" si="12"/>
        <v>0</v>
      </c>
      <c r="P173" s="284"/>
    </row>
    <row r="174" spans="1:16" s="10" customFormat="1">
      <c r="A174" s="135"/>
      <c r="B174" s="135"/>
      <c r="C174" s="482"/>
      <c r="D174" s="482"/>
      <c r="E174" s="521" t="s">
        <v>224</v>
      </c>
      <c r="F174" s="125"/>
      <c r="G174" s="135"/>
      <c r="H174" s="272"/>
      <c r="I174" s="272">
        <v>16000</v>
      </c>
      <c r="J174" s="136"/>
      <c r="K174" s="125">
        <f t="shared" si="10"/>
        <v>16000</v>
      </c>
      <c r="L174" s="125">
        <v>60000</v>
      </c>
      <c r="M174" s="125">
        <f t="shared" si="11"/>
        <v>60000</v>
      </c>
      <c r="N174" s="284"/>
      <c r="O174" s="125">
        <f t="shared" si="12"/>
        <v>44000</v>
      </c>
      <c r="P174" s="284">
        <f t="shared" si="14"/>
        <v>2.75</v>
      </c>
    </row>
    <row r="175" spans="1:16" s="10" customFormat="1">
      <c r="A175" s="135"/>
      <c r="B175" s="135"/>
      <c r="C175" s="482"/>
      <c r="D175" s="482"/>
      <c r="E175" s="307"/>
      <c r="F175" s="125"/>
      <c r="G175" s="135"/>
      <c r="H175" s="272"/>
      <c r="I175" s="272"/>
      <c r="J175" s="136"/>
      <c r="K175" s="125">
        <f t="shared" si="10"/>
        <v>0</v>
      </c>
      <c r="L175" s="125">
        <v>0</v>
      </c>
      <c r="M175" s="125">
        <f t="shared" si="11"/>
        <v>0</v>
      </c>
      <c r="N175" s="284"/>
      <c r="O175" s="125">
        <f t="shared" si="12"/>
        <v>0</v>
      </c>
      <c r="P175" s="284"/>
    </row>
    <row r="176" spans="1:16" s="10" customFormat="1" ht="39.6">
      <c r="A176" s="551" t="s">
        <v>683</v>
      </c>
      <c r="B176" s="551" t="s">
        <v>609</v>
      </c>
      <c r="C176" s="497"/>
      <c r="D176" s="497"/>
      <c r="E176" s="527" t="s">
        <v>1054</v>
      </c>
      <c r="F176" s="125"/>
      <c r="G176" s="135"/>
      <c r="H176" s="272"/>
      <c r="I176" s="272"/>
      <c r="J176" s="136"/>
      <c r="K176" s="125">
        <f t="shared" si="10"/>
        <v>0</v>
      </c>
      <c r="L176" s="291">
        <v>14000</v>
      </c>
      <c r="M176" s="291">
        <f t="shared" si="11"/>
        <v>14000</v>
      </c>
      <c r="N176" s="282"/>
      <c r="O176" s="291">
        <f t="shared" si="12"/>
        <v>14000</v>
      </c>
      <c r="P176" s="282"/>
    </row>
    <row r="177" spans="1:16" s="10" customFormat="1">
      <c r="A177" s="551"/>
      <c r="B177" s="551"/>
      <c r="C177" s="497"/>
      <c r="D177" s="497"/>
      <c r="E177" s="528" t="s">
        <v>47</v>
      </c>
      <c r="F177" s="125"/>
      <c r="G177" s="135"/>
      <c r="H177" s="272"/>
      <c r="I177" s="272"/>
      <c r="J177" s="136"/>
      <c r="K177" s="125">
        <f t="shared" si="10"/>
        <v>0</v>
      </c>
      <c r="L177" s="534">
        <v>6000</v>
      </c>
      <c r="M177" s="534">
        <f t="shared" si="11"/>
        <v>6000</v>
      </c>
      <c r="N177" s="652"/>
      <c r="O177" s="534">
        <f t="shared" si="12"/>
        <v>6000</v>
      </c>
      <c r="P177" s="652"/>
    </row>
    <row r="178" spans="1:16" s="10" customFormat="1">
      <c r="A178" s="551"/>
      <c r="B178" s="551"/>
      <c r="C178" s="497"/>
      <c r="D178" s="497"/>
      <c r="E178" s="529"/>
      <c r="F178" s="125"/>
      <c r="G178" s="135"/>
      <c r="H178" s="272"/>
      <c r="I178" s="272"/>
      <c r="J178" s="136"/>
      <c r="K178" s="125">
        <f t="shared" si="10"/>
        <v>0</v>
      </c>
      <c r="L178" s="125">
        <v>0</v>
      </c>
      <c r="M178" s="125">
        <f t="shared" si="11"/>
        <v>0</v>
      </c>
      <c r="N178" s="284"/>
      <c r="O178" s="125">
        <f t="shared" si="12"/>
        <v>0</v>
      </c>
      <c r="P178" s="284"/>
    </row>
    <row r="179" spans="1:16" s="10" customFormat="1">
      <c r="A179" s="551"/>
      <c r="B179" s="551"/>
      <c r="C179" s="497"/>
      <c r="D179" s="497"/>
      <c r="E179" s="530" t="s">
        <v>224</v>
      </c>
      <c r="F179" s="125"/>
      <c r="G179" s="135"/>
      <c r="H179" s="272"/>
      <c r="I179" s="272"/>
      <c r="J179" s="136"/>
      <c r="K179" s="125">
        <f t="shared" si="10"/>
        <v>0</v>
      </c>
      <c r="L179" s="125">
        <v>14000</v>
      </c>
      <c r="M179" s="125">
        <f t="shared" si="11"/>
        <v>14000</v>
      </c>
      <c r="N179" s="284"/>
      <c r="O179" s="125">
        <f t="shared" si="12"/>
        <v>14000</v>
      </c>
      <c r="P179" s="284"/>
    </row>
    <row r="180" spans="1:16" s="10" customFormat="1">
      <c r="A180" s="551"/>
      <c r="B180" s="551"/>
      <c r="C180" s="497"/>
      <c r="D180" s="497"/>
      <c r="E180" s="602"/>
      <c r="F180" s="125"/>
      <c r="G180" s="135"/>
      <c r="H180" s="272"/>
      <c r="I180" s="272"/>
      <c r="J180" s="136"/>
      <c r="K180" s="125">
        <f t="shared" si="10"/>
        <v>0</v>
      </c>
      <c r="L180" s="125">
        <v>0</v>
      </c>
      <c r="M180" s="125">
        <f t="shared" si="11"/>
        <v>0</v>
      </c>
      <c r="N180" s="284"/>
      <c r="O180" s="125">
        <f t="shared" si="12"/>
        <v>0</v>
      </c>
      <c r="P180" s="284"/>
    </row>
    <row r="181" spans="1:16" s="10" customFormat="1" ht="39.6">
      <c r="A181" s="551" t="s">
        <v>670</v>
      </c>
      <c r="B181" s="551" t="s">
        <v>609</v>
      </c>
      <c r="C181" s="497"/>
      <c r="D181" s="497"/>
      <c r="E181" s="531" t="s">
        <v>1055</v>
      </c>
      <c r="F181" s="125"/>
      <c r="G181" s="135"/>
      <c r="H181" s="272"/>
      <c r="I181" s="272"/>
      <c r="J181" s="136"/>
      <c r="K181" s="125">
        <f t="shared" si="10"/>
        <v>0</v>
      </c>
      <c r="L181" s="291">
        <v>95000</v>
      </c>
      <c r="M181" s="291">
        <f t="shared" si="11"/>
        <v>95000</v>
      </c>
      <c r="N181" s="282"/>
      <c r="O181" s="291">
        <f t="shared" si="12"/>
        <v>95000</v>
      </c>
      <c r="P181" s="282"/>
    </row>
    <row r="182" spans="1:16" s="10" customFormat="1">
      <c r="A182" s="551"/>
      <c r="B182" s="551"/>
      <c r="C182" s="497"/>
      <c r="D182" s="497"/>
      <c r="E182" s="528" t="s">
        <v>47</v>
      </c>
      <c r="F182" s="125"/>
      <c r="G182" s="135"/>
      <c r="H182" s="272"/>
      <c r="I182" s="272"/>
      <c r="J182" s="136"/>
      <c r="K182" s="125">
        <f t="shared" si="10"/>
        <v>0</v>
      </c>
      <c r="L182" s="534">
        <v>47500</v>
      </c>
      <c r="M182" s="534">
        <f t="shared" si="11"/>
        <v>47500</v>
      </c>
      <c r="N182" s="652"/>
      <c r="O182" s="534">
        <f t="shared" si="12"/>
        <v>47500</v>
      </c>
      <c r="P182" s="652"/>
    </row>
    <row r="183" spans="1:16" s="10" customFormat="1">
      <c r="A183" s="551"/>
      <c r="B183" s="551"/>
      <c r="C183" s="497"/>
      <c r="D183" s="497"/>
      <c r="E183" s="529"/>
      <c r="F183" s="125"/>
      <c r="G183" s="135"/>
      <c r="H183" s="272"/>
      <c r="I183" s="272"/>
      <c r="J183" s="136"/>
      <c r="K183" s="125">
        <f t="shared" si="10"/>
        <v>0</v>
      </c>
      <c r="L183" s="125">
        <v>0</v>
      </c>
      <c r="M183" s="125">
        <f t="shared" si="11"/>
        <v>0</v>
      </c>
      <c r="N183" s="284"/>
      <c r="O183" s="125">
        <f t="shared" si="12"/>
        <v>0</v>
      </c>
      <c r="P183" s="284"/>
    </row>
    <row r="184" spans="1:16" s="10" customFormat="1">
      <c r="A184" s="551"/>
      <c r="B184" s="551"/>
      <c r="C184" s="497"/>
      <c r="D184" s="497"/>
      <c r="E184" s="530" t="s">
        <v>224</v>
      </c>
      <c r="F184" s="125"/>
      <c r="G184" s="135"/>
      <c r="H184" s="272"/>
      <c r="I184" s="272"/>
      <c r="J184" s="136"/>
      <c r="K184" s="125">
        <f t="shared" si="10"/>
        <v>0</v>
      </c>
      <c r="L184" s="125">
        <v>95000</v>
      </c>
      <c r="M184" s="125">
        <f t="shared" si="11"/>
        <v>95000</v>
      </c>
      <c r="N184" s="284"/>
      <c r="O184" s="125">
        <f t="shared" si="12"/>
        <v>95000</v>
      </c>
      <c r="P184" s="284"/>
    </row>
    <row r="185" spans="1:16" s="10" customFormat="1">
      <c r="A185" s="551"/>
      <c r="B185" s="551"/>
      <c r="C185" s="497"/>
      <c r="D185" s="497"/>
      <c r="E185" s="530"/>
      <c r="F185" s="125"/>
      <c r="G185" s="135"/>
      <c r="H185" s="272"/>
      <c r="I185" s="272"/>
      <c r="J185" s="136"/>
      <c r="K185" s="125">
        <f t="shared" si="10"/>
        <v>0</v>
      </c>
      <c r="L185" s="125">
        <v>0</v>
      </c>
      <c r="M185" s="125">
        <f t="shared" si="11"/>
        <v>0</v>
      </c>
      <c r="N185" s="284"/>
      <c r="O185" s="125">
        <f t="shared" si="12"/>
        <v>0</v>
      </c>
      <c r="P185" s="284"/>
    </row>
    <row r="186" spans="1:16" s="10" customFormat="1" ht="34.200000000000003">
      <c r="A186" s="551" t="s">
        <v>679</v>
      </c>
      <c r="B186" s="551" t="s">
        <v>609</v>
      </c>
      <c r="C186" s="497"/>
      <c r="D186" s="497"/>
      <c r="E186" s="532" t="s">
        <v>1056</v>
      </c>
      <c r="F186" s="125"/>
      <c r="G186" s="135"/>
      <c r="H186" s="272"/>
      <c r="I186" s="136">
        <v>155536</v>
      </c>
      <c r="J186" s="136"/>
      <c r="K186" s="291">
        <f t="shared" si="10"/>
        <v>155536</v>
      </c>
      <c r="L186" s="291">
        <v>173584</v>
      </c>
      <c r="M186" s="291">
        <f t="shared" si="11"/>
        <v>173584</v>
      </c>
      <c r="N186" s="282"/>
      <c r="O186" s="291">
        <f t="shared" si="12"/>
        <v>18048</v>
      </c>
      <c r="P186" s="282">
        <f t="shared" si="14"/>
        <v>0.11603744470733464</v>
      </c>
    </row>
    <row r="187" spans="1:16" s="10" customFormat="1">
      <c r="A187" s="135"/>
      <c r="B187" s="135"/>
      <c r="C187" s="482"/>
      <c r="D187" s="482"/>
      <c r="E187" s="130" t="s">
        <v>47</v>
      </c>
      <c r="F187" s="125"/>
      <c r="G187" s="135"/>
      <c r="H187" s="272"/>
      <c r="I187" s="272">
        <v>23692</v>
      </c>
      <c r="J187" s="136"/>
      <c r="K187" s="125">
        <f t="shared" si="10"/>
        <v>23692</v>
      </c>
      <c r="L187" s="534">
        <v>107922</v>
      </c>
      <c r="M187" s="534">
        <f t="shared" si="11"/>
        <v>107922</v>
      </c>
      <c r="N187" s="652"/>
      <c r="O187" s="534">
        <f t="shared" si="12"/>
        <v>84230</v>
      </c>
      <c r="P187" s="652">
        <f t="shared" si="14"/>
        <v>3.5552085092014183</v>
      </c>
    </row>
    <row r="188" spans="1:16" s="10" customFormat="1">
      <c r="A188" s="135"/>
      <c r="B188" s="135"/>
      <c r="C188" s="482"/>
      <c r="D188" s="482"/>
      <c r="F188" s="125"/>
      <c r="G188" s="135"/>
      <c r="H188" s="272"/>
      <c r="I188" s="272"/>
      <c r="J188" s="136"/>
      <c r="K188" s="125">
        <f t="shared" si="10"/>
        <v>0</v>
      </c>
      <c r="L188" s="125">
        <v>0</v>
      </c>
      <c r="M188" s="125">
        <f t="shared" si="11"/>
        <v>0</v>
      </c>
      <c r="N188" s="284"/>
      <c r="O188" s="125">
        <f t="shared" si="12"/>
        <v>0</v>
      </c>
      <c r="P188" s="284"/>
    </row>
    <row r="189" spans="1:16" s="10" customFormat="1">
      <c r="A189" s="135"/>
      <c r="B189" s="135"/>
      <c r="C189" s="482"/>
      <c r="D189" s="482"/>
      <c r="E189" s="307" t="s">
        <v>224</v>
      </c>
      <c r="F189" s="125"/>
      <c r="G189" s="135"/>
      <c r="H189" s="272"/>
      <c r="I189" s="272">
        <v>106910</v>
      </c>
      <c r="J189" s="136"/>
      <c r="K189" s="125">
        <f t="shared" si="10"/>
        <v>106910</v>
      </c>
      <c r="L189" s="125">
        <v>173584</v>
      </c>
      <c r="M189" s="125">
        <f t="shared" si="11"/>
        <v>173584</v>
      </c>
      <c r="N189" s="284"/>
      <c r="O189" s="125">
        <f t="shared" si="12"/>
        <v>66674</v>
      </c>
      <c r="P189" s="284">
        <f t="shared" si="14"/>
        <v>0.62364605743148438</v>
      </c>
    </row>
    <row r="190" spans="1:16" s="10" customFormat="1">
      <c r="A190" s="135"/>
      <c r="B190" s="135"/>
      <c r="C190" s="482"/>
      <c r="D190" s="482"/>
      <c r="E190" s="307"/>
      <c r="F190" s="125"/>
      <c r="G190" s="135"/>
      <c r="H190" s="272"/>
      <c r="I190" s="272"/>
      <c r="J190" s="136"/>
      <c r="K190" s="125">
        <f t="shared" si="10"/>
        <v>0</v>
      </c>
      <c r="L190" s="125">
        <v>0</v>
      </c>
      <c r="M190" s="125">
        <f t="shared" si="11"/>
        <v>0</v>
      </c>
      <c r="N190" s="284"/>
      <c r="O190" s="125">
        <f t="shared" si="12"/>
        <v>0</v>
      </c>
      <c r="P190" s="284"/>
    </row>
    <row r="191" spans="1:16" s="10" customFormat="1" ht="13.8">
      <c r="A191" s="135" t="s">
        <v>677</v>
      </c>
      <c r="B191" s="135" t="s">
        <v>609</v>
      </c>
      <c r="C191" s="482"/>
      <c r="D191" s="482"/>
      <c r="E191" s="310" t="s">
        <v>155</v>
      </c>
      <c r="F191" s="311">
        <f>F192+F211</f>
        <v>1123860</v>
      </c>
      <c r="G191" s="311">
        <f t="shared" ref="G191:J191" si="15">G192+G211</f>
        <v>0</v>
      </c>
      <c r="H191" s="312">
        <f>H192+H211</f>
        <v>205994</v>
      </c>
      <c r="I191" s="312">
        <f>I192+I211</f>
        <v>221033</v>
      </c>
      <c r="J191" s="311">
        <f t="shared" si="15"/>
        <v>0</v>
      </c>
      <c r="K191" s="311">
        <f t="shared" si="10"/>
        <v>1550887</v>
      </c>
      <c r="L191" s="311">
        <f>L192+L211</f>
        <v>1208010</v>
      </c>
      <c r="M191" s="311">
        <f t="shared" si="11"/>
        <v>84150</v>
      </c>
      <c r="N191" s="313">
        <f t="shared" si="13"/>
        <v>7.4875874219208799E-2</v>
      </c>
      <c r="O191" s="311">
        <f t="shared" si="12"/>
        <v>-342877</v>
      </c>
      <c r="P191" s="313">
        <f t="shared" si="14"/>
        <v>-0.22108445038226512</v>
      </c>
    </row>
    <row r="192" spans="1:16" s="10" customFormat="1">
      <c r="A192" s="135"/>
      <c r="B192" s="135"/>
      <c r="C192" s="482"/>
      <c r="D192" s="482"/>
      <c r="E192" s="314" t="s">
        <v>156</v>
      </c>
      <c r="F192" s="127">
        <f>F195+F200+F205</f>
        <v>486400</v>
      </c>
      <c r="G192" s="135"/>
      <c r="H192" s="127">
        <f>H195+H200+H205+H209</f>
        <v>70000</v>
      </c>
      <c r="I192" s="127">
        <f>I195+I200+I205+I209</f>
        <v>-2667</v>
      </c>
      <c r="J192" s="136"/>
      <c r="K192" s="127">
        <f t="shared" si="10"/>
        <v>553733</v>
      </c>
      <c r="L192" s="127">
        <f>L195+L200+L205+L209</f>
        <v>467550</v>
      </c>
      <c r="M192" s="127">
        <f t="shared" si="11"/>
        <v>-18850</v>
      </c>
      <c r="N192" s="160">
        <f t="shared" si="13"/>
        <v>-3.8754111842105261E-2</v>
      </c>
      <c r="O192" s="127">
        <f t="shared" si="12"/>
        <v>-86183</v>
      </c>
      <c r="P192" s="160">
        <f t="shared" si="14"/>
        <v>-0.15563999255959099</v>
      </c>
    </row>
    <row r="193" spans="1:16" s="10" customFormat="1">
      <c r="A193" s="135"/>
      <c r="B193" s="135"/>
      <c r="C193" s="482"/>
      <c r="D193" s="482"/>
      <c r="E193" s="132" t="s">
        <v>47</v>
      </c>
      <c r="F193" s="124">
        <f>F206</f>
        <v>660</v>
      </c>
      <c r="G193" s="135"/>
      <c r="H193" s="214"/>
      <c r="I193" s="214"/>
      <c r="J193" s="136"/>
      <c r="K193" s="124">
        <f t="shared" si="10"/>
        <v>660</v>
      </c>
      <c r="L193" s="124">
        <f>L206</f>
        <v>660</v>
      </c>
      <c r="M193" s="124">
        <f t="shared" si="11"/>
        <v>0</v>
      </c>
      <c r="N193" s="270">
        <f t="shared" si="13"/>
        <v>0</v>
      </c>
      <c r="O193" s="124">
        <f t="shared" si="12"/>
        <v>0</v>
      </c>
      <c r="P193" s="270">
        <f t="shared" si="14"/>
        <v>0</v>
      </c>
    </row>
    <row r="194" spans="1:16" s="10" customFormat="1">
      <c r="A194" s="135"/>
      <c r="B194" s="135"/>
      <c r="C194" s="482"/>
      <c r="D194" s="482"/>
      <c r="E194" s="315" t="s">
        <v>101</v>
      </c>
      <c r="F194" s="123"/>
      <c r="G194" s="135"/>
      <c r="H194" s="214"/>
      <c r="I194" s="214"/>
      <c r="J194" s="136"/>
      <c r="K194" s="123">
        <f t="shared" si="10"/>
        <v>0</v>
      </c>
      <c r="L194" s="123">
        <v>0</v>
      </c>
      <c r="M194" s="123">
        <f t="shared" si="11"/>
        <v>0</v>
      </c>
      <c r="N194" s="160"/>
      <c r="O194" s="123">
        <f t="shared" si="12"/>
        <v>0</v>
      </c>
      <c r="P194" s="160"/>
    </row>
    <row r="195" spans="1:16" s="10" customFormat="1" ht="15.6">
      <c r="A195" s="135"/>
      <c r="B195" s="135"/>
      <c r="C195" s="537"/>
      <c r="D195" s="537"/>
      <c r="E195" s="37" t="s">
        <v>841</v>
      </c>
      <c r="F195" s="47">
        <v>269400</v>
      </c>
      <c r="G195" s="135"/>
      <c r="H195" s="214"/>
      <c r="I195" s="214">
        <v>-6000</v>
      </c>
      <c r="J195" s="136"/>
      <c r="K195" s="47">
        <f t="shared" si="10"/>
        <v>263400</v>
      </c>
      <c r="L195" s="47">
        <v>242460</v>
      </c>
      <c r="M195" s="47">
        <f t="shared" si="11"/>
        <v>-26940</v>
      </c>
      <c r="N195" s="96">
        <f t="shared" si="13"/>
        <v>-0.1</v>
      </c>
      <c r="O195" s="47">
        <f t="shared" si="12"/>
        <v>-20940</v>
      </c>
      <c r="P195" s="96">
        <f t="shared" si="14"/>
        <v>-7.9498861047835989E-2</v>
      </c>
    </row>
    <row r="196" spans="1:16" s="10" customFormat="1">
      <c r="A196" s="135"/>
      <c r="B196" s="135"/>
      <c r="C196" s="482"/>
      <c r="D196" s="482"/>
      <c r="E196" s="37"/>
      <c r="F196" s="47"/>
      <c r="G196" s="135"/>
      <c r="H196" s="214"/>
      <c r="I196" s="214"/>
      <c r="J196" s="136"/>
      <c r="K196" s="47">
        <f t="shared" si="10"/>
        <v>0</v>
      </c>
      <c r="L196" s="47">
        <v>0</v>
      </c>
      <c r="M196" s="47">
        <f t="shared" si="11"/>
        <v>0</v>
      </c>
      <c r="N196" s="96"/>
      <c r="O196" s="47">
        <f t="shared" si="12"/>
        <v>0</v>
      </c>
      <c r="P196" s="96"/>
    </row>
    <row r="197" spans="1:16" s="147" customFormat="1">
      <c r="C197" s="536"/>
      <c r="D197" s="536"/>
      <c r="E197" s="316" t="s">
        <v>842</v>
      </c>
      <c r="F197" s="50">
        <v>50000</v>
      </c>
      <c r="H197" s="214"/>
      <c r="I197" s="214"/>
      <c r="J197" s="309"/>
      <c r="K197" s="50">
        <f t="shared" si="10"/>
        <v>50000</v>
      </c>
      <c r="L197" s="50">
        <v>0</v>
      </c>
      <c r="M197" s="50">
        <f t="shared" si="11"/>
        <v>-50000</v>
      </c>
      <c r="N197" s="99">
        <f t="shared" si="13"/>
        <v>-1</v>
      </c>
      <c r="O197" s="50">
        <f t="shared" si="12"/>
        <v>-50000</v>
      </c>
      <c r="P197" s="99">
        <f t="shared" si="14"/>
        <v>-1</v>
      </c>
    </row>
    <row r="198" spans="1:16" s="10" customFormat="1">
      <c r="A198" s="135"/>
      <c r="B198" s="135"/>
      <c r="C198" s="482"/>
      <c r="D198" s="482"/>
      <c r="E198" s="317"/>
      <c r="F198" s="48"/>
      <c r="G198" s="135"/>
      <c r="H198" s="214"/>
      <c r="I198" s="214"/>
      <c r="J198" s="136"/>
      <c r="K198" s="48">
        <f t="shared" si="10"/>
        <v>0</v>
      </c>
      <c r="L198" s="48">
        <v>0</v>
      </c>
      <c r="M198" s="48">
        <f t="shared" si="11"/>
        <v>0</v>
      </c>
      <c r="N198" s="97"/>
      <c r="O198" s="48">
        <f t="shared" si="12"/>
        <v>0</v>
      </c>
      <c r="P198" s="97"/>
    </row>
    <row r="199" spans="1:16" s="10" customFormat="1">
      <c r="A199" s="135"/>
      <c r="B199" s="135"/>
      <c r="C199" s="482"/>
      <c r="D199" s="482"/>
      <c r="E199" s="315" t="s">
        <v>101</v>
      </c>
      <c r="F199" s="123"/>
      <c r="G199" s="135"/>
      <c r="H199" s="214"/>
      <c r="I199" s="214"/>
      <c r="J199" s="136"/>
      <c r="K199" s="123">
        <f t="shared" si="10"/>
        <v>0</v>
      </c>
      <c r="L199" s="123">
        <v>0</v>
      </c>
      <c r="M199" s="123">
        <f t="shared" si="11"/>
        <v>0</v>
      </c>
      <c r="N199" s="160"/>
      <c r="O199" s="123">
        <f t="shared" si="12"/>
        <v>0</v>
      </c>
      <c r="P199" s="160"/>
    </row>
    <row r="200" spans="1:16" s="147" customFormat="1" ht="15.6">
      <c r="C200" s="537"/>
      <c r="D200" s="537"/>
      <c r="E200" s="37" t="s">
        <v>843</v>
      </c>
      <c r="F200" s="47">
        <v>200000</v>
      </c>
      <c r="H200" s="214">
        <v>30000</v>
      </c>
      <c r="I200" s="214">
        <v>3333</v>
      </c>
      <c r="J200" s="309"/>
      <c r="K200" s="47">
        <f t="shared" ref="K200:K263" si="16">F200+G200+H200+J200+I200</f>
        <v>233333</v>
      </c>
      <c r="L200" s="47">
        <v>208090</v>
      </c>
      <c r="M200" s="47">
        <f t="shared" ref="M200:M263" si="17">L200-F200</f>
        <v>8090</v>
      </c>
      <c r="N200" s="96">
        <f t="shared" ref="N200:N262" si="18">M200/F200</f>
        <v>4.045E-2</v>
      </c>
      <c r="O200" s="47">
        <f t="shared" ref="O200:O263" si="19">L200-K200</f>
        <v>-25243</v>
      </c>
      <c r="P200" s="96">
        <f t="shared" ref="P200:P262" si="20">O200/K200</f>
        <v>-0.10818444026348609</v>
      </c>
    </row>
    <row r="201" spans="1:16" s="147" customFormat="1">
      <c r="C201" s="536"/>
      <c r="D201" s="536"/>
      <c r="E201" s="37"/>
      <c r="F201" s="47"/>
      <c r="H201" s="214"/>
      <c r="I201" s="214"/>
      <c r="J201" s="309"/>
      <c r="K201" s="47">
        <f t="shared" si="16"/>
        <v>0</v>
      </c>
      <c r="L201" s="47">
        <v>0</v>
      </c>
      <c r="M201" s="47">
        <f t="shared" si="17"/>
        <v>0</v>
      </c>
      <c r="N201" s="96"/>
      <c r="O201" s="47">
        <f t="shared" si="19"/>
        <v>0</v>
      </c>
      <c r="P201" s="96"/>
    </row>
    <row r="202" spans="1:16" s="147" customFormat="1" ht="15">
      <c r="C202" s="536"/>
      <c r="D202" s="536"/>
      <c r="E202" s="318" t="s">
        <v>844</v>
      </c>
      <c r="F202" s="50">
        <v>38840</v>
      </c>
      <c r="H202" s="319">
        <v>41000</v>
      </c>
      <c r="I202" s="319"/>
      <c r="J202" s="309"/>
      <c r="K202" s="50">
        <f t="shared" si="16"/>
        <v>79840</v>
      </c>
      <c r="L202" s="50">
        <v>0</v>
      </c>
      <c r="M202" s="50">
        <f t="shared" si="17"/>
        <v>-38840</v>
      </c>
      <c r="N202" s="99">
        <f t="shared" si="18"/>
        <v>-1</v>
      </c>
      <c r="O202" s="50">
        <f t="shared" si="19"/>
        <v>-79840</v>
      </c>
      <c r="P202" s="99">
        <f t="shared" si="20"/>
        <v>-1</v>
      </c>
    </row>
    <row r="203" spans="1:16" s="147" customFormat="1">
      <c r="C203" s="536"/>
      <c r="D203" s="536"/>
      <c r="E203" s="320"/>
      <c r="F203" s="321"/>
      <c r="H203" s="214"/>
      <c r="I203" s="214"/>
      <c r="J203" s="309"/>
      <c r="K203" s="321">
        <f t="shared" si="16"/>
        <v>0</v>
      </c>
      <c r="L203" s="321">
        <v>0</v>
      </c>
      <c r="M203" s="321">
        <f t="shared" si="17"/>
        <v>0</v>
      </c>
      <c r="N203" s="322"/>
      <c r="O203" s="321">
        <f t="shared" si="19"/>
        <v>0</v>
      </c>
      <c r="P203" s="322"/>
    </row>
    <row r="204" spans="1:16" s="147" customFormat="1">
      <c r="C204" s="536"/>
      <c r="D204" s="536"/>
      <c r="E204" s="315" t="s">
        <v>101</v>
      </c>
      <c r="F204" s="123"/>
      <c r="H204" s="214"/>
      <c r="I204" s="214"/>
      <c r="J204" s="309"/>
      <c r="K204" s="123">
        <f t="shared" si="16"/>
        <v>0</v>
      </c>
      <c r="L204" s="123">
        <v>0</v>
      </c>
      <c r="M204" s="123">
        <f t="shared" si="17"/>
        <v>0</v>
      </c>
      <c r="N204" s="160"/>
      <c r="O204" s="123">
        <f t="shared" si="19"/>
        <v>0</v>
      </c>
      <c r="P204" s="160"/>
    </row>
    <row r="205" spans="1:16" s="10" customFormat="1">
      <c r="A205" s="135"/>
      <c r="B205" s="135"/>
      <c r="C205" s="537"/>
      <c r="D205" s="537"/>
      <c r="E205" s="37" t="s">
        <v>158</v>
      </c>
      <c r="F205" s="47">
        <v>17000</v>
      </c>
      <c r="G205" s="135"/>
      <c r="H205" s="214"/>
      <c r="I205" s="214"/>
      <c r="J205" s="136"/>
      <c r="K205" s="47">
        <f t="shared" si="16"/>
        <v>17000</v>
      </c>
      <c r="L205" s="47">
        <v>17000</v>
      </c>
      <c r="M205" s="47">
        <f t="shared" si="17"/>
        <v>0</v>
      </c>
      <c r="N205" s="96">
        <f t="shared" si="18"/>
        <v>0</v>
      </c>
      <c r="O205" s="47">
        <f t="shared" si="19"/>
        <v>0</v>
      </c>
      <c r="P205" s="96">
        <f t="shared" si="20"/>
        <v>0</v>
      </c>
    </row>
    <row r="206" spans="1:16" s="10" customFormat="1">
      <c r="A206" s="135"/>
      <c r="B206" s="135"/>
      <c r="C206" s="482"/>
      <c r="D206" s="482"/>
      <c r="E206" s="323" t="s">
        <v>47</v>
      </c>
      <c r="F206" s="124">
        <v>660</v>
      </c>
      <c r="G206" s="135"/>
      <c r="H206" s="214"/>
      <c r="I206" s="214"/>
      <c r="J206" s="136"/>
      <c r="K206" s="124">
        <f t="shared" si="16"/>
        <v>660</v>
      </c>
      <c r="L206" s="124">
        <v>660</v>
      </c>
      <c r="M206" s="124">
        <f t="shared" si="17"/>
        <v>0</v>
      </c>
      <c r="N206" s="270">
        <f t="shared" si="18"/>
        <v>0</v>
      </c>
      <c r="O206" s="124">
        <f t="shared" si="19"/>
        <v>0</v>
      </c>
      <c r="P206" s="270">
        <f t="shared" si="20"/>
        <v>0</v>
      </c>
    </row>
    <row r="207" spans="1:16" s="10" customFormat="1">
      <c r="A207" s="135"/>
      <c r="B207" s="135"/>
      <c r="C207" s="482"/>
      <c r="D207" s="482"/>
      <c r="E207" s="323"/>
      <c r="F207" s="124"/>
      <c r="G207" s="135"/>
      <c r="H207" s="214"/>
      <c r="I207" s="214"/>
      <c r="J207" s="136"/>
      <c r="K207" s="124">
        <f t="shared" si="16"/>
        <v>0</v>
      </c>
      <c r="L207" s="124">
        <v>0</v>
      </c>
      <c r="M207" s="124">
        <f t="shared" si="17"/>
        <v>0</v>
      </c>
      <c r="N207" s="270"/>
      <c r="O207" s="124">
        <f t="shared" si="19"/>
        <v>0</v>
      </c>
      <c r="P207" s="270"/>
    </row>
    <row r="208" spans="1:16" s="10" customFormat="1">
      <c r="A208" s="135"/>
      <c r="B208" s="135"/>
      <c r="C208" s="482"/>
      <c r="D208" s="482"/>
      <c r="E208" s="315" t="s">
        <v>619</v>
      </c>
      <c r="F208" s="124"/>
      <c r="G208" s="135"/>
      <c r="H208" s="214"/>
      <c r="I208" s="214"/>
      <c r="J208" s="136"/>
      <c r="K208" s="124">
        <f t="shared" si="16"/>
        <v>0</v>
      </c>
      <c r="L208" s="124">
        <v>0</v>
      </c>
      <c r="M208" s="124">
        <f t="shared" si="17"/>
        <v>0</v>
      </c>
      <c r="N208" s="270"/>
      <c r="O208" s="124">
        <f t="shared" si="19"/>
        <v>0</v>
      </c>
      <c r="P208" s="270"/>
    </row>
    <row r="209" spans="1:16" s="10" customFormat="1">
      <c r="A209" s="135"/>
      <c r="B209" s="135"/>
      <c r="C209" s="482"/>
      <c r="D209" s="482"/>
      <c r="E209" s="37" t="s">
        <v>845</v>
      </c>
      <c r="F209" s="124"/>
      <c r="G209" s="135"/>
      <c r="H209" s="214">
        <v>40000</v>
      </c>
      <c r="I209" s="214"/>
      <c r="J209" s="136"/>
      <c r="K209" s="268">
        <f t="shared" si="16"/>
        <v>40000</v>
      </c>
      <c r="L209" s="124">
        <v>0</v>
      </c>
      <c r="M209" s="124">
        <f t="shared" si="17"/>
        <v>0</v>
      </c>
      <c r="N209" s="270"/>
      <c r="O209" s="124">
        <f t="shared" si="19"/>
        <v>-40000</v>
      </c>
      <c r="P209" s="270">
        <f t="shared" si="20"/>
        <v>-1</v>
      </c>
    </row>
    <row r="210" spans="1:16" s="10" customFormat="1">
      <c r="A210" s="135"/>
      <c r="B210" s="135"/>
      <c r="C210" s="482"/>
      <c r="D210" s="482"/>
      <c r="E210" s="132"/>
      <c r="F210" s="124"/>
      <c r="G210" s="135"/>
      <c r="H210" s="214"/>
      <c r="I210" s="214"/>
      <c r="J210" s="136"/>
      <c r="K210" s="124">
        <f t="shared" si="16"/>
        <v>0</v>
      </c>
      <c r="L210" s="124">
        <v>0</v>
      </c>
      <c r="M210" s="124">
        <f t="shared" si="17"/>
        <v>0</v>
      </c>
      <c r="N210" s="270"/>
      <c r="O210" s="124">
        <f t="shared" si="19"/>
        <v>0</v>
      </c>
      <c r="P210" s="270"/>
    </row>
    <row r="211" spans="1:16" s="147" customFormat="1">
      <c r="C211" s="536"/>
      <c r="D211" s="536"/>
      <c r="E211" s="314" t="s">
        <v>157</v>
      </c>
      <c r="F211" s="127">
        <f>F214+F217+F221</f>
        <v>637460</v>
      </c>
      <c r="G211" s="127">
        <f t="shared" ref="G211:J211" si="21">G214+G217+G221</f>
        <v>0</v>
      </c>
      <c r="H211" s="324">
        <f>H214+H217+H221+H224</f>
        <v>135994</v>
      </c>
      <c r="I211" s="324">
        <f>I214+I217+I221+I224</f>
        <v>223700</v>
      </c>
      <c r="J211" s="127">
        <f t="shared" si="21"/>
        <v>0</v>
      </c>
      <c r="K211" s="127">
        <f t="shared" si="16"/>
        <v>997154</v>
      </c>
      <c r="L211" s="127">
        <f>L214+L217+L221+L224</f>
        <v>740460</v>
      </c>
      <c r="M211" s="127">
        <f t="shared" si="17"/>
        <v>103000</v>
      </c>
      <c r="N211" s="160">
        <f t="shared" si="18"/>
        <v>0.16157876572647695</v>
      </c>
      <c r="O211" s="127">
        <f t="shared" si="19"/>
        <v>-256694</v>
      </c>
      <c r="P211" s="160">
        <f t="shared" si="20"/>
        <v>-0.25742663620664413</v>
      </c>
    </row>
    <row r="212" spans="1:16" s="147" customFormat="1">
      <c r="C212" s="536"/>
      <c r="D212" s="536"/>
      <c r="E212" s="132" t="s">
        <v>47</v>
      </c>
      <c r="F212" s="124">
        <f>+F218</f>
        <v>6730</v>
      </c>
      <c r="G212" s="124">
        <f t="shared" ref="G212:J212" si="22">+G218</f>
        <v>0</v>
      </c>
      <c r="H212" s="325">
        <f t="shared" si="22"/>
        <v>0</v>
      </c>
      <c r="I212" s="325">
        <f t="shared" si="22"/>
        <v>838</v>
      </c>
      <c r="J212" s="124">
        <f t="shared" si="22"/>
        <v>0</v>
      </c>
      <c r="K212" s="124">
        <f t="shared" si="16"/>
        <v>7568</v>
      </c>
      <c r="L212" s="124">
        <f>L218</f>
        <v>9758</v>
      </c>
      <c r="M212" s="124">
        <f t="shared" si="17"/>
        <v>3028</v>
      </c>
      <c r="N212" s="270">
        <f t="shared" si="18"/>
        <v>0.44992570579494801</v>
      </c>
      <c r="O212" s="124">
        <f t="shared" si="19"/>
        <v>2190</v>
      </c>
      <c r="P212" s="270">
        <f t="shared" si="20"/>
        <v>0.28937632135306551</v>
      </c>
    </row>
    <row r="213" spans="1:16" s="10" customFormat="1">
      <c r="A213" s="135"/>
      <c r="B213" s="135"/>
      <c r="C213" s="482"/>
      <c r="D213" s="482"/>
      <c r="E213" s="315" t="s">
        <v>101</v>
      </c>
      <c r="F213" s="123"/>
      <c r="G213" s="135"/>
      <c r="H213" s="214"/>
      <c r="I213" s="214"/>
      <c r="J213" s="136"/>
      <c r="K213" s="123">
        <f t="shared" si="16"/>
        <v>0</v>
      </c>
      <c r="L213" s="123">
        <v>0</v>
      </c>
      <c r="M213" s="123">
        <f t="shared" si="17"/>
        <v>0</v>
      </c>
      <c r="N213" s="160"/>
      <c r="O213" s="123">
        <f t="shared" si="19"/>
        <v>0</v>
      </c>
      <c r="P213" s="160"/>
    </row>
    <row r="214" spans="1:16" s="10" customFormat="1">
      <c r="A214" s="135"/>
      <c r="B214" s="135"/>
      <c r="C214" s="537"/>
      <c r="D214" s="537"/>
      <c r="E214" s="37" t="s">
        <v>846</v>
      </c>
      <c r="F214" s="47">
        <v>352460</v>
      </c>
      <c r="G214" s="135"/>
      <c r="H214" s="214"/>
      <c r="I214" s="214"/>
      <c r="J214" s="136"/>
      <c r="K214" s="47">
        <f t="shared" si="16"/>
        <v>352460</v>
      </c>
      <c r="L214" s="47">
        <v>361460</v>
      </c>
      <c r="M214" s="47">
        <f t="shared" si="17"/>
        <v>9000</v>
      </c>
      <c r="N214" s="96">
        <f t="shared" si="18"/>
        <v>2.5534812460988481E-2</v>
      </c>
      <c r="O214" s="47">
        <f t="shared" si="19"/>
        <v>9000</v>
      </c>
      <c r="P214" s="96">
        <f t="shared" si="20"/>
        <v>2.5534812460988481E-2</v>
      </c>
    </row>
    <row r="215" spans="1:16" s="10" customFormat="1">
      <c r="A215" s="135"/>
      <c r="B215" s="135"/>
      <c r="C215" s="482"/>
      <c r="D215" s="482"/>
      <c r="E215" s="307"/>
      <c r="F215" s="125"/>
      <c r="G215" s="135"/>
      <c r="H215" s="214"/>
      <c r="I215" s="214"/>
      <c r="J215" s="136"/>
      <c r="K215" s="125">
        <f t="shared" si="16"/>
        <v>0</v>
      </c>
      <c r="L215" s="125">
        <v>0</v>
      </c>
      <c r="M215" s="125">
        <f t="shared" si="17"/>
        <v>0</v>
      </c>
      <c r="N215" s="284"/>
      <c r="O215" s="125">
        <f t="shared" si="19"/>
        <v>0</v>
      </c>
      <c r="P215" s="284"/>
    </row>
    <row r="216" spans="1:16" s="10" customFormat="1">
      <c r="A216" s="135"/>
      <c r="B216" s="135"/>
      <c r="C216" s="482"/>
      <c r="D216" s="482"/>
      <c r="E216" s="315" t="s">
        <v>101</v>
      </c>
      <c r="F216" s="123"/>
      <c r="G216" s="135"/>
      <c r="H216" s="214"/>
      <c r="I216" s="214"/>
      <c r="J216" s="136"/>
      <c r="K216" s="123">
        <f t="shared" si="16"/>
        <v>0</v>
      </c>
      <c r="L216" s="123">
        <v>0</v>
      </c>
      <c r="M216" s="123">
        <f t="shared" si="17"/>
        <v>0</v>
      </c>
      <c r="N216" s="160"/>
      <c r="O216" s="123">
        <f t="shared" si="19"/>
        <v>0</v>
      </c>
      <c r="P216" s="160"/>
    </row>
    <row r="217" spans="1:16" s="10" customFormat="1">
      <c r="A217" s="135"/>
      <c r="B217" s="135"/>
      <c r="C217" s="537"/>
      <c r="D217" s="537"/>
      <c r="E217" s="37" t="s">
        <v>847</v>
      </c>
      <c r="F217" s="47">
        <v>172000</v>
      </c>
      <c r="G217" s="135"/>
      <c r="H217" s="214"/>
      <c r="I217" s="214">
        <v>223700</v>
      </c>
      <c r="J217" s="136"/>
      <c r="K217" s="47">
        <f t="shared" si="16"/>
        <v>395700</v>
      </c>
      <c r="L217" s="47">
        <v>300000</v>
      </c>
      <c r="M217" s="47">
        <f t="shared" si="17"/>
        <v>128000</v>
      </c>
      <c r="N217" s="96">
        <f t="shared" si="18"/>
        <v>0.7441860465116279</v>
      </c>
      <c r="O217" s="47">
        <f t="shared" si="19"/>
        <v>-95700</v>
      </c>
      <c r="P217" s="96">
        <f t="shared" si="20"/>
        <v>-0.24184988627748294</v>
      </c>
    </row>
    <row r="218" spans="1:16" s="10" customFormat="1">
      <c r="A218" s="135"/>
      <c r="B218" s="135"/>
      <c r="C218" s="482"/>
      <c r="D218" s="482"/>
      <c r="E218" s="323" t="s">
        <v>47</v>
      </c>
      <c r="F218" s="124">
        <v>6730</v>
      </c>
      <c r="G218" s="135"/>
      <c r="H218" s="214"/>
      <c r="I218" s="392">
        <v>838</v>
      </c>
      <c r="J218" s="136"/>
      <c r="K218" s="124">
        <f t="shared" si="16"/>
        <v>7568</v>
      </c>
      <c r="L218" s="124">
        <v>9758</v>
      </c>
      <c r="M218" s="124">
        <f t="shared" si="17"/>
        <v>3028</v>
      </c>
      <c r="N218" s="270">
        <f t="shared" si="18"/>
        <v>0.44992570579494801</v>
      </c>
      <c r="O218" s="124">
        <f t="shared" si="19"/>
        <v>2190</v>
      </c>
      <c r="P218" s="270">
        <f t="shared" si="20"/>
        <v>0.28937632135306551</v>
      </c>
    </row>
    <row r="219" spans="1:16" s="10" customFormat="1">
      <c r="A219" s="135"/>
      <c r="B219" s="135"/>
      <c r="C219" s="482"/>
      <c r="D219" s="482"/>
      <c r="E219" s="132"/>
      <c r="F219" s="124"/>
      <c r="G219" s="135"/>
      <c r="H219" s="214"/>
      <c r="I219" s="214"/>
      <c r="J219" s="136"/>
      <c r="K219" s="124">
        <f t="shared" si="16"/>
        <v>0</v>
      </c>
      <c r="L219" s="124">
        <v>0</v>
      </c>
      <c r="M219" s="124">
        <f t="shared" si="17"/>
        <v>0</v>
      </c>
      <c r="N219" s="270"/>
      <c r="O219" s="124">
        <f t="shared" si="19"/>
        <v>0</v>
      </c>
      <c r="P219" s="270"/>
    </row>
    <row r="220" spans="1:16" s="147" customFormat="1">
      <c r="C220" s="536"/>
      <c r="D220" s="536"/>
      <c r="E220" s="315" t="s">
        <v>101</v>
      </c>
      <c r="F220" s="123"/>
      <c r="H220" s="214"/>
      <c r="I220" s="214"/>
      <c r="J220" s="309"/>
      <c r="K220" s="123">
        <f t="shared" si="16"/>
        <v>0</v>
      </c>
      <c r="L220" s="123">
        <v>0</v>
      </c>
      <c r="M220" s="123">
        <f t="shared" si="17"/>
        <v>0</v>
      </c>
      <c r="N220" s="160"/>
      <c r="O220" s="123">
        <f t="shared" si="19"/>
        <v>0</v>
      </c>
      <c r="P220" s="160"/>
    </row>
    <row r="221" spans="1:16" s="10" customFormat="1">
      <c r="A221" s="135"/>
      <c r="B221" s="135"/>
      <c r="C221" s="537"/>
      <c r="D221" s="537"/>
      <c r="E221" s="37" t="s">
        <v>848</v>
      </c>
      <c r="F221" s="47">
        <v>113000</v>
      </c>
      <c r="G221" s="135"/>
      <c r="H221" s="214">
        <v>-15000</v>
      </c>
      <c r="I221" s="214"/>
      <c r="J221" s="136"/>
      <c r="K221" s="47">
        <f t="shared" si="16"/>
        <v>98000</v>
      </c>
      <c r="L221" s="47">
        <v>79000</v>
      </c>
      <c r="M221" s="47">
        <f t="shared" si="17"/>
        <v>-34000</v>
      </c>
      <c r="N221" s="96">
        <f t="shared" si="18"/>
        <v>-0.30088495575221241</v>
      </c>
      <c r="O221" s="47">
        <f t="shared" si="19"/>
        <v>-19000</v>
      </c>
      <c r="P221" s="96">
        <f t="shared" si="20"/>
        <v>-0.19387755102040816</v>
      </c>
    </row>
    <row r="222" spans="1:16" s="10" customFormat="1">
      <c r="A222" s="135"/>
      <c r="B222" s="135"/>
      <c r="C222" s="537"/>
      <c r="D222" s="537"/>
      <c r="E222" s="37"/>
      <c r="F222" s="47"/>
      <c r="G222" s="135"/>
      <c r="H222" s="214"/>
      <c r="I222" s="214"/>
      <c r="J222" s="136"/>
      <c r="K222" s="47">
        <f t="shared" si="16"/>
        <v>0</v>
      </c>
      <c r="L222" s="47">
        <v>0</v>
      </c>
      <c r="M222" s="47">
        <f t="shared" si="17"/>
        <v>0</v>
      </c>
      <c r="N222" s="96"/>
      <c r="O222" s="47">
        <f t="shared" si="19"/>
        <v>0</v>
      </c>
      <c r="P222" s="96"/>
    </row>
    <row r="223" spans="1:16" s="10" customFormat="1">
      <c r="A223" s="135"/>
      <c r="B223" s="135"/>
      <c r="C223" s="537"/>
      <c r="D223" s="537"/>
      <c r="E223" s="315" t="s">
        <v>619</v>
      </c>
      <c r="F223" s="47"/>
      <c r="G223" s="135"/>
      <c r="H223" s="214"/>
      <c r="I223" s="214"/>
      <c r="J223" s="136"/>
      <c r="K223" s="47">
        <f t="shared" si="16"/>
        <v>0</v>
      </c>
      <c r="L223" s="47">
        <v>0</v>
      </c>
      <c r="M223" s="47">
        <f t="shared" si="17"/>
        <v>0</v>
      </c>
      <c r="N223" s="96"/>
      <c r="O223" s="47">
        <f t="shared" si="19"/>
        <v>0</v>
      </c>
      <c r="P223" s="96"/>
    </row>
    <row r="224" spans="1:16" s="10" customFormat="1" ht="26.4">
      <c r="A224" s="135"/>
      <c r="B224" s="135"/>
      <c r="C224" s="537"/>
      <c r="D224" s="537"/>
      <c r="E224" s="37" t="s">
        <v>849</v>
      </c>
      <c r="F224" s="47"/>
      <c r="G224" s="135"/>
      <c r="H224" s="214">
        <v>150994</v>
      </c>
      <c r="I224" s="214"/>
      <c r="J224" s="136"/>
      <c r="K224" s="47">
        <f t="shared" si="16"/>
        <v>150994</v>
      </c>
      <c r="L224" s="47">
        <v>0</v>
      </c>
      <c r="M224" s="47">
        <f t="shared" si="17"/>
        <v>0</v>
      </c>
      <c r="N224" s="96"/>
      <c r="O224" s="47">
        <f t="shared" si="19"/>
        <v>-150994</v>
      </c>
      <c r="P224" s="96">
        <f t="shared" si="20"/>
        <v>-1</v>
      </c>
    </row>
    <row r="225" spans="1:16" s="10" customFormat="1">
      <c r="A225" s="135"/>
      <c r="B225" s="135"/>
      <c r="C225" s="537"/>
      <c r="D225" s="537"/>
      <c r="E225" s="37"/>
      <c r="F225" s="47"/>
      <c r="G225" s="135"/>
      <c r="H225" s="214"/>
      <c r="I225" s="214"/>
      <c r="J225" s="136"/>
      <c r="K225" s="47">
        <f t="shared" si="16"/>
        <v>0</v>
      </c>
      <c r="L225" s="47">
        <v>0</v>
      </c>
      <c r="M225" s="47">
        <f t="shared" si="17"/>
        <v>0</v>
      </c>
      <c r="N225" s="96"/>
      <c r="O225" s="47">
        <f t="shared" si="19"/>
        <v>0</v>
      </c>
      <c r="P225" s="96"/>
    </row>
    <row r="226" spans="1:16" s="10" customFormat="1">
      <c r="A226" s="135"/>
      <c r="B226" s="135"/>
      <c r="C226" s="537"/>
      <c r="D226" s="537"/>
      <c r="E226" s="307" t="s">
        <v>224</v>
      </c>
      <c r="F226" s="47"/>
      <c r="G226" s="135"/>
      <c r="H226" s="392">
        <v>150994</v>
      </c>
      <c r="I226" s="392"/>
      <c r="J226" s="136"/>
      <c r="K226" s="51">
        <f t="shared" si="16"/>
        <v>150994</v>
      </c>
      <c r="L226" s="47">
        <v>0</v>
      </c>
      <c r="M226" s="47">
        <f t="shared" si="17"/>
        <v>0</v>
      </c>
      <c r="N226" s="96"/>
      <c r="O226" s="47">
        <f t="shared" si="19"/>
        <v>-150994</v>
      </c>
      <c r="P226" s="96">
        <f t="shared" si="20"/>
        <v>-1</v>
      </c>
    </row>
    <row r="227" spans="1:16" s="10" customFormat="1">
      <c r="A227" s="135"/>
      <c r="B227" s="135"/>
      <c r="C227" s="482"/>
      <c r="D227" s="482"/>
      <c r="E227" s="132"/>
      <c r="F227" s="124"/>
      <c r="G227" s="135"/>
      <c r="H227" s="214"/>
      <c r="I227" s="214"/>
      <c r="J227" s="136"/>
      <c r="K227" s="124">
        <f t="shared" si="16"/>
        <v>0</v>
      </c>
      <c r="L227" s="124">
        <v>0</v>
      </c>
      <c r="M227" s="124">
        <f t="shared" si="17"/>
        <v>0</v>
      </c>
      <c r="N227" s="270"/>
      <c r="O227" s="124">
        <f t="shared" si="19"/>
        <v>0</v>
      </c>
      <c r="P227" s="270"/>
    </row>
    <row r="228" spans="1:16" s="10" customFormat="1">
      <c r="A228" s="135"/>
      <c r="B228" s="135"/>
      <c r="C228" s="482"/>
      <c r="D228" s="482"/>
      <c r="E228" s="261" t="s">
        <v>618</v>
      </c>
      <c r="F228" s="127">
        <f>F230+F236+F254+F256+F258</f>
        <v>2172895</v>
      </c>
      <c r="G228" s="135"/>
      <c r="H228" s="127">
        <f>H230+H236+H254+H256+H258</f>
        <v>-15000</v>
      </c>
      <c r="I228" s="127">
        <f>I230+I236+I254+I256+I258</f>
        <v>0</v>
      </c>
      <c r="J228" s="136"/>
      <c r="K228" s="127">
        <f t="shared" si="16"/>
        <v>2157895</v>
      </c>
      <c r="L228" s="127">
        <f>L230+L236+L254+L256+L258+L252</f>
        <v>2134895</v>
      </c>
      <c r="M228" s="127">
        <f t="shared" si="17"/>
        <v>-38000</v>
      </c>
      <c r="N228" s="160">
        <f t="shared" si="18"/>
        <v>-1.7488189719245522E-2</v>
      </c>
      <c r="O228" s="127">
        <f t="shared" si="19"/>
        <v>-23000</v>
      </c>
      <c r="P228" s="160">
        <f t="shared" si="20"/>
        <v>-1.0658535285544477E-2</v>
      </c>
    </row>
    <row r="229" spans="1:16" s="10" customFormat="1">
      <c r="A229" s="135"/>
      <c r="B229" s="135"/>
      <c r="C229" s="482"/>
      <c r="D229" s="482"/>
      <c r="E229" s="326"/>
      <c r="F229" s="341"/>
      <c r="G229" s="135"/>
      <c r="H229" s="214"/>
      <c r="I229" s="214"/>
      <c r="J229" s="136"/>
      <c r="K229" s="341">
        <f t="shared" si="16"/>
        <v>0</v>
      </c>
      <c r="L229" s="341">
        <v>0</v>
      </c>
      <c r="M229" s="341">
        <f t="shared" si="17"/>
        <v>0</v>
      </c>
      <c r="N229" s="342"/>
      <c r="O229" s="341">
        <f t="shared" si="19"/>
        <v>0</v>
      </c>
      <c r="P229" s="342"/>
    </row>
    <row r="230" spans="1:16" s="147" customFormat="1">
      <c r="A230" s="516" t="s">
        <v>677</v>
      </c>
      <c r="B230" s="516" t="s">
        <v>609</v>
      </c>
      <c r="C230" s="537"/>
      <c r="D230" s="537"/>
      <c r="E230" s="273" t="s">
        <v>850</v>
      </c>
      <c r="F230" s="131">
        <f>F231+F232+F233+F234</f>
        <v>260000</v>
      </c>
      <c r="H230" s="131">
        <f t="shared" ref="H230" si="23">H231+H232+H233+H234</f>
        <v>-15000</v>
      </c>
      <c r="I230" s="131"/>
      <c r="J230" s="309"/>
      <c r="K230" s="131">
        <f t="shared" si="16"/>
        <v>245000</v>
      </c>
      <c r="L230" s="131">
        <f>L231+L232+L233+L234</f>
        <v>247000</v>
      </c>
      <c r="M230" s="131">
        <f t="shared" si="17"/>
        <v>-13000</v>
      </c>
      <c r="N230" s="157">
        <f t="shared" si="18"/>
        <v>-0.05</v>
      </c>
      <c r="O230" s="131">
        <f t="shared" si="19"/>
        <v>2000</v>
      </c>
      <c r="P230" s="157">
        <f t="shared" si="20"/>
        <v>8.1632653061224497E-3</v>
      </c>
    </row>
    <row r="231" spans="1:16" s="147" customFormat="1">
      <c r="C231" s="536"/>
      <c r="D231" s="536"/>
      <c r="E231" s="327" t="s">
        <v>161</v>
      </c>
      <c r="F231" s="328">
        <v>45000</v>
      </c>
      <c r="H231" s="214"/>
      <c r="I231" s="214"/>
      <c r="J231" s="309"/>
      <c r="K231" s="328">
        <f t="shared" si="16"/>
        <v>45000</v>
      </c>
      <c r="L231" s="328">
        <v>47500</v>
      </c>
      <c r="M231" s="328">
        <f t="shared" si="17"/>
        <v>2500</v>
      </c>
      <c r="N231" s="299">
        <f t="shared" si="18"/>
        <v>5.5555555555555552E-2</v>
      </c>
      <c r="O231" s="328">
        <f t="shared" si="19"/>
        <v>2500</v>
      </c>
      <c r="P231" s="299">
        <f t="shared" si="20"/>
        <v>5.5555555555555552E-2</v>
      </c>
    </row>
    <row r="232" spans="1:16" s="10" customFormat="1">
      <c r="A232" s="135"/>
      <c r="B232" s="135"/>
      <c r="C232" s="482"/>
      <c r="D232" s="482"/>
      <c r="E232" s="327" t="s">
        <v>162</v>
      </c>
      <c r="F232" s="328">
        <v>60000</v>
      </c>
      <c r="G232" s="135"/>
      <c r="H232" s="381">
        <v>-15000</v>
      </c>
      <c r="I232" s="381"/>
      <c r="J232" s="136"/>
      <c r="K232" s="328">
        <f t="shared" si="16"/>
        <v>45000</v>
      </c>
      <c r="L232" s="328">
        <v>47500</v>
      </c>
      <c r="M232" s="328">
        <f t="shared" si="17"/>
        <v>-12500</v>
      </c>
      <c r="N232" s="299">
        <f t="shared" si="18"/>
        <v>-0.20833333333333334</v>
      </c>
      <c r="O232" s="328">
        <f t="shared" si="19"/>
        <v>2500</v>
      </c>
      <c r="P232" s="299">
        <f t="shared" si="20"/>
        <v>5.5555555555555552E-2</v>
      </c>
    </row>
    <row r="233" spans="1:16" s="10" customFormat="1">
      <c r="A233" s="135"/>
      <c r="B233" s="135"/>
      <c r="C233" s="482"/>
      <c r="D233" s="482"/>
      <c r="E233" s="327" t="s">
        <v>384</v>
      </c>
      <c r="F233" s="328">
        <v>60000</v>
      </c>
      <c r="G233" s="135"/>
      <c r="H233" s="136"/>
      <c r="I233" s="136"/>
      <c r="J233" s="136"/>
      <c r="K233" s="328">
        <f t="shared" si="16"/>
        <v>60000</v>
      </c>
      <c r="L233" s="328">
        <v>57000</v>
      </c>
      <c r="M233" s="328">
        <f t="shared" si="17"/>
        <v>-3000</v>
      </c>
      <c r="N233" s="299">
        <f t="shared" si="18"/>
        <v>-0.05</v>
      </c>
      <c r="O233" s="328">
        <f t="shared" si="19"/>
        <v>-3000</v>
      </c>
      <c r="P233" s="299">
        <f t="shared" si="20"/>
        <v>-0.05</v>
      </c>
    </row>
    <row r="234" spans="1:16" s="10" customFormat="1">
      <c r="A234" s="135"/>
      <c r="B234" s="135"/>
      <c r="C234" s="482"/>
      <c r="D234" s="482"/>
      <c r="E234" s="327" t="s">
        <v>498</v>
      </c>
      <c r="F234" s="328">
        <v>95000</v>
      </c>
      <c r="G234" s="135"/>
      <c r="H234" s="136"/>
      <c r="I234" s="136"/>
      <c r="J234" s="136"/>
      <c r="K234" s="328">
        <f t="shared" si="16"/>
        <v>95000</v>
      </c>
      <c r="L234" s="328">
        <v>95000</v>
      </c>
      <c r="M234" s="328">
        <f t="shared" si="17"/>
        <v>0</v>
      </c>
      <c r="N234" s="299">
        <f t="shared" si="18"/>
        <v>0</v>
      </c>
      <c r="O234" s="328">
        <f t="shared" si="19"/>
        <v>0</v>
      </c>
      <c r="P234" s="299">
        <f t="shared" si="20"/>
        <v>0</v>
      </c>
    </row>
    <row r="235" spans="1:16" s="10" customFormat="1">
      <c r="A235" s="135"/>
      <c r="B235" s="135"/>
      <c r="C235" s="482"/>
      <c r="D235" s="482"/>
      <c r="E235" s="327"/>
      <c r="F235" s="328"/>
      <c r="G235" s="135"/>
      <c r="H235" s="136"/>
      <c r="I235" s="136"/>
      <c r="J235" s="136"/>
      <c r="K235" s="328">
        <f t="shared" si="16"/>
        <v>0</v>
      </c>
      <c r="L235" s="328">
        <v>0</v>
      </c>
      <c r="M235" s="328">
        <f t="shared" si="17"/>
        <v>0</v>
      </c>
      <c r="N235" s="299"/>
      <c r="O235" s="328">
        <f t="shared" si="19"/>
        <v>0</v>
      </c>
      <c r="P235" s="299"/>
    </row>
    <row r="236" spans="1:16" s="10" customFormat="1" ht="26.4">
      <c r="A236" s="135"/>
      <c r="B236" s="135"/>
      <c r="C236" s="482"/>
      <c r="D236" s="482"/>
      <c r="E236" s="330" t="s">
        <v>499</v>
      </c>
      <c r="F236" s="289">
        <f>F244+F245+F246+F237+F242+F247+F248+F241+F243</f>
        <v>304570</v>
      </c>
      <c r="G236" s="135"/>
      <c r="H236" s="289">
        <f>H244+H245+H246+H237+H242+H247+H248+H241+H243+H249+H250</f>
        <v>0</v>
      </c>
      <c r="I236" s="289"/>
      <c r="J236" s="136"/>
      <c r="K236" s="289">
        <f t="shared" si="16"/>
        <v>304570</v>
      </c>
      <c r="L236" s="289">
        <f>L237+L241+L242+L243+L244+L245+L246+L247+L248+L249+L250</f>
        <v>274570</v>
      </c>
      <c r="M236" s="289">
        <f t="shared" si="17"/>
        <v>-30000</v>
      </c>
      <c r="N236" s="282">
        <f t="shared" si="18"/>
        <v>-9.8499523918967727E-2</v>
      </c>
      <c r="O236" s="289">
        <f t="shared" si="19"/>
        <v>-30000</v>
      </c>
      <c r="P236" s="282">
        <f t="shared" si="20"/>
        <v>-9.8499523918967727E-2</v>
      </c>
    </row>
    <row r="237" spans="1:16" s="10" customFormat="1">
      <c r="A237" s="516" t="s">
        <v>677</v>
      </c>
      <c r="B237" s="516" t="s">
        <v>609</v>
      </c>
      <c r="C237" s="537"/>
      <c r="D237" s="537"/>
      <c r="E237" s="331" t="s">
        <v>851</v>
      </c>
      <c r="F237" s="328">
        <f>F238+F239+F240</f>
        <v>135000</v>
      </c>
      <c r="G237" s="135"/>
      <c r="H237" s="381"/>
      <c r="I237" s="381"/>
      <c r="J237" s="136"/>
      <c r="K237" s="328">
        <f t="shared" si="16"/>
        <v>135000</v>
      </c>
      <c r="L237" s="328">
        <f>L238+L239+L240</f>
        <v>180000</v>
      </c>
      <c r="M237" s="328">
        <f t="shared" si="17"/>
        <v>45000</v>
      </c>
      <c r="N237" s="299">
        <f t="shared" si="18"/>
        <v>0.33333333333333331</v>
      </c>
      <c r="O237" s="328">
        <f t="shared" si="19"/>
        <v>45000</v>
      </c>
      <c r="P237" s="299">
        <f t="shared" si="20"/>
        <v>0.33333333333333331</v>
      </c>
    </row>
    <row r="238" spans="1:16" s="10" customFormat="1">
      <c r="A238" s="135"/>
      <c r="B238" s="135"/>
      <c r="C238" s="482"/>
      <c r="D238" s="482"/>
      <c r="E238" s="332" t="s">
        <v>1223</v>
      </c>
      <c r="F238" s="333">
        <v>35000</v>
      </c>
      <c r="G238" s="135"/>
      <c r="H238" s="381"/>
      <c r="I238" s="381"/>
      <c r="J238" s="136"/>
      <c r="K238" s="333">
        <f t="shared" si="16"/>
        <v>35000</v>
      </c>
      <c r="L238" s="333">
        <v>80000</v>
      </c>
      <c r="M238" s="333">
        <f t="shared" si="17"/>
        <v>45000</v>
      </c>
      <c r="N238" s="278">
        <f t="shared" si="18"/>
        <v>1.2857142857142858</v>
      </c>
      <c r="O238" s="333">
        <f t="shared" si="19"/>
        <v>45000</v>
      </c>
      <c r="P238" s="278">
        <f t="shared" si="20"/>
        <v>1.2857142857142858</v>
      </c>
    </row>
    <row r="239" spans="1:16" s="10" customFormat="1">
      <c r="A239" s="135"/>
      <c r="B239" s="135"/>
      <c r="C239" s="482"/>
      <c r="D239" s="482"/>
      <c r="E239" s="332" t="s">
        <v>852</v>
      </c>
      <c r="F239" s="333">
        <v>50000</v>
      </c>
      <c r="G239" s="135"/>
      <c r="H239" s="381"/>
      <c r="I239" s="381"/>
      <c r="J239" s="136"/>
      <c r="K239" s="333">
        <f t="shared" si="16"/>
        <v>50000</v>
      </c>
      <c r="L239" s="333">
        <v>50000</v>
      </c>
      <c r="M239" s="333">
        <f t="shared" si="17"/>
        <v>0</v>
      </c>
      <c r="N239" s="278">
        <f t="shared" si="18"/>
        <v>0</v>
      </c>
      <c r="O239" s="333">
        <f t="shared" si="19"/>
        <v>0</v>
      </c>
      <c r="P239" s="278">
        <f t="shared" si="20"/>
        <v>0</v>
      </c>
    </row>
    <row r="240" spans="1:16" s="10" customFormat="1">
      <c r="A240" s="135"/>
      <c r="B240" s="135"/>
      <c r="C240" s="482"/>
      <c r="D240" s="482"/>
      <c r="E240" s="332" t="s">
        <v>853</v>
      </c>
      <c r="F240" s="333">
        <v>50000</v>
      </c>
      <c r="G240" s="135"/>
      <c r="H240" s="381"/>
      <c r="I240" s="381"/>
      <c r="J240" s="136"/>
      <c r="K240" s="333">
        <f t="shared" si="16"/>
        <v>50000</v>
      </c>
      <c r="L240" s="333">
        <v>50000</v>
      </c>
      <c r="M240" s="333">
        <f t="shared" si="17"/>
        <v>0</v>
      </c>
      <c r="N240" s="278">
        <f t="shared" si="18"/>
        <v>0</v>
      </c>
      <c r="O240" s="333">
        <f t="shared" si="19"/>
        <v>0</v>
      </c>
      <c r="P240" s="278">
        <f t="shared" si="20"/>
        <v>0</v>
      </c>
    </row>
    <row r="241" spans="1:16" s="10" customFormat="1">
      <c r="A241" s="135" t="s">
        <v>677</v>
      </c>
      <c r="B241" s="135" t="s">
        <v>609</v>
      </c>
      <c r="C241" s="537"/>
      <c r="D241" s="537"/>
      <c r="E241" s="331" t="s">
        <v>854</v>
      </c>
      <c r="F241" s="328">
        <v>30000</v>
      </c>
      <c r="G241" s="135"/>
      <c r="H241" s="381"/>
      <c r="I241" s="381"/>
      <c r="J241" s="136"/>
      <c r="K241" s="328">
        <f t="shared" si="16"/>
        <v>30000</v>
      </c>
      <c r="L241" s="328">
        <v>0</v>
      </c>
      <c r="M241" s="328">
        <f t="shared" si="17"/>
        <v>-30000</v>
      </c>
      <c r="N241" s="299">
        <f t="shared" si="18"/>
        <v>-1</v>
      </c>
      <c r="O241" s="328">
        <f t="shared" si="19"/>
        <v>-30000</v>
      </c>
      <c r="P241" s="299">
        <f t="shared" si="20"/>
        <v>-1</v>
      </c>
    </row>
    <row r="242" spans="1:16" s="266" customFormat="1">
      <c r="A242" s="77" t="s">
        <v>671</v>
      </c>
      <c r="B242" s="135" t="s">
        <v>609</v>
      </c>
      <c r="C242" s="537"/>
      <c r="D242" s="537"/>
      <c r="E242" s="331" t="s">
        <v>660</v>
      </c>
      <c r="F242" s="328">
        <v>10000</v>
      </c>
      <c r="G242" s="513"/>
      <c r="H242" s="279"/>
      <c r="I242" s="279"/>
      <c r="J242" s="279"/>
      <c r="K242" s="328">
        <f t="shared" si="16"/>
        <v>10000</v>
      </c>
      <c r="L242" s="328">
        <v>10000</v>
      </c>
      <c r="M242" s="328">
        <f t="shared" si="17"/>
        <v>0</v>
      </c>
      <c r="N242" s="299">
        <f t="shared" si="18"/>
        <v>0</v>
      </c>
      <c r="O242" s="328">
        <f t="shared" si="19"/>
        <v>0</v>
      </c>
      <c r="P242" s="299">
        <f t="shared" si="20"/>
        <v>0</v>
      </c>
    </row>
    <row r="243" spans="1:16" s="10" customFormat="1">
      <c r="A243" s="135" t="s">
        <v>677</v>
      </c>
      <c r="B243" s="135" t="s">
        <v>609</v>
      </c>
      <c r="C243" s="537"/>
      <c r="D243" s="537"/>
      <c r="E243" s="331" t="s">
        <v>413</v>
      </c>
      <c r="F243" s="328">
        <f>38000+20000</f>
        <v>58000</v>
      </c>
      <c r="G243" s="135"/>
      <c r="H243" s="381">
        <v>-37500</v>
      </c>
      <c r="I243" s="381"/>
      <c r="J243" s="136"/>
      <c r="K243" s="328">
        <f t="shared" si="16"/>
        <v>20500</v>
      </c>
      <c r="L243" s="328">
        <v>26000</v>
      </c>
      <c r="M243" s="328">
        <f t="shared" si="17"/>
        <v>-32000</v>
      </c>
      <c r="N243" s="299">
        <f t="shared" si="18"/>
        <v>-0.55172413793103448</v>
      </c>
      <c r="O243" s="328">
        <f t="shared" si="19"/>
        <v>5500</v>
      </c>
      <c r="P243" s="299">
        <f t="shared" si="20"/>
        <v>0.26829268292682928</v>
      </c>
    </row>
    <row r="244" spans="1:16" s="10" customFormat="1">
      <c r="A244" s="135" t="s">
        <v>677</v>
      </c>
      <c r="B244" s="135" t="s">
        <v>609</v>
      </c>
      <c r="C244" s="537"/>
      <c r="D244" s="537"/>
      <c r="E244" s="331" t="s">
        <v>500</v>
      </c>
      <c r="F244" s="328">
        <v>5000</v>
      </c>
      <c r="G244" s="135"/>
      <c r="H244" s="381"/>
      <c r="I244" s="381"/>
      <c r="J244" s="136"/>
      <c r="K244" s="328">
        <f t="shared" si="16"/>
        <v>5000</v>
      </c>
      <c r="L244" s="328">
        <v>5000</v>
      </c>
      <c r="M244" s="328">
        <f t="shared" si="17"/>
        <v>0</v>
      </c>
      <c r="N244" s="299">
        <f t="shared" si="18"/>
        <v>0</v>
      </c>
      <c r="O244" s="328">
        <f t="shared" si="19"/>
        <v>0</v>
      </c>
      <c r="P244" s="299">
        <f t="shared" si="20"/>
        <v>0</v>
      </c>
    </row>
    <row r="245" spans="1:16" s="10" customFormat="1">
      <c r="A245" s="135" t="s">
        <v>677</v>
      </c>
      <c r="B245" s="135" t="s">
        <v>609</v>
      </c>
      <c r="C245" s="537"/>
      <c r="D245" s="537"/>
      <c r="E245" s="331" t="s">
        <v>527</v>
      </c>
      <c r="F245" s="328">
        <v>18000</v>
      </c>
      <c r="G245" s="135"/>
      <c r="H245" s="381"/>
      <c r="I245" s="381"/>
      <c r="J245" s="136"/>
      <c r="K245" s="328">
        <f t="shared" si="16"/>
        <v>18000</v>
      </c>
      <c r="L245" s="328">
        <v>18000</v>
      </c>
      <c r="M245" s="328">
        <f t="shared" si="17"/>
        <v>0</v>
      </c>
      <c r="N245" s="299">
        <f t="shared" si="18"/>
        <v>0</v>
      </c>
      <c r="O245" s="328">
        <f t="shared" si="19"/>
        <v>0</v>
      </c>
      <c r="P245" s="299">
        <f t="shared" si="20"/>
        <v>0</v>
      </c>
    </row>
    <row r="246" spans="1:16" s="10" customFormat="1">
      <c r="A246" s="135" t="s">
        <v>677</v>
      </c>
      <c r="B246" s="135" t="s">
        <v>609</v>
      </c>
      <c r="C246" s="537"/>
      <c r="D246" s="537"/>
      <c r="E246" s="331" t="s">
        <v>528</v>
      </c>
      <c r="F246" s="328">
        <v>20570</v>
      </c>
      <c r="G246" s="135"/>
      <c r="H246" s="381"/>
      <c r="I246" s="381"/>
      <c r="J246" s="136"/>
      <c r="K246" s="328">
        <f t="shared" si="16"/>
        <v>20570</v>
      </c>
      <c r="L246" s="328">
        <v>20570</v>
      </c>
      <c r="M246" s="328">
        <f t="shared" si="17"/>
        <v>0</v>
      </c>
      <c r="N246" s="299">
        <f t="shared" si="18"/>
        <v>0</v>
      </c>
      <c r="O246" s="328">
        <f t="shared" si="19"/>
        <v>0</v>
      </c>
      <c r="P246" s="299">
        <f t="shared" si="20"/>
        <v>0</v>
      </c>
    </row>
    <row r="247" spans="1:16" s="10" customFormat="1">
      <c r="A247" s="135" t="s">
        <v>677</v>
      </c>
      <c r="B247" s="135" t="s">
        <v>609</v>
      </c>
      <c r="C247" s="537"/>
      <c r="D247" s="537"/>
      <c r="E247" s="331" t="s">
        <v>529</v>
      </c>
      <c r="F247" s="328">
        <v>15000</v>
      </c>
      <c r="G247" s="135"/>
      <c r="H247" s="381"/>
      <c r="I247" s="381"/>
      <c r="J247" s="136"/>
      <c r="K247" s="328">
        <f t="shared" si="16"/>
        <v>15000</v>
      </c>
      <c r="L247" s="328">
        <v>15000</v>
      </c>
      <c r="M247" s="328">
        <f t="shared" si="17"/>
        <v>0</v>
      </c>
      <c r="N247" s="299">
        <f t="shared" si="18"/>
        <v>0</v>
      </c>
      <c r="O247" s="328">
        <f t="shared" si="19"/>
        <v>0</v>
      </c>
      <c r="P247" s="299">
        <f t="shared" si="20"/>
        <v>0</v>
      </c>
    </row>
    <row r="248" spans="1:16" s="10" customFormat="1">
      <c r="A248" s="135" t="s">
        <v>677</v>
      </c>
      <c r="B248" s="135" t="s">
        <v>609</v>
      </c>
      <c r="C248" s="537"/>
      <c r="D248" s="537"/>
      <c r="E248" s="331" t="s">
        <v>855</v>
      </c>
      <c r="F248" s="328">
        <v>13000</v>
      </c>
      <c r="G248" s="135"/>
      <c r="H248" s="381"/>
      <c r="I248" s="381"/>
      <c r="J248" s="136"/>
      <c r="K248" s="328">
        <f t="shared" si="16"/>
        <v>13000</v>
      </c>
      <c r="L248" s="328">
        <v>0</v>
      </c>
      <c r="M248" s="328">
        <f t="shared" si="17"/>
        <v>-13000</v>
      </c>
      <c r="N248" s="299">
        <f t="shared" si="18"/>
        <v>-1</v>
      </c>
      <c r="O248" s="328">
        <f t="shared" si="19"/>
        <v>-13000</v>
      </c>
      <c r="P248" s="299">
        <f t="shared" si="20"/>
        <v>-1</v>
      </c>
    </row>
    <row r="249" spans="1:16" s="10" customFormat="1">
      <c r="A249" s="135" t="s">
        <v>677</v>
      </c>
      <c r="B249" s="135" t="s">
        <v>609</v>
      </c>
      <c r="C249" s="537"/>
      <c r="D249" s="537"/>
      <c r="E249" s="331" t="s">
        <v>856</v>
      </c>
      <c r="F249" s="328"/>
      <c r="G249" s="135"/>
      <c r="H249" s="381">
        <v>30000</v>
      </c>
      <c r="I249" s="381"/>
      <c r="J249" s="136"/>
      <c r="K249" s="328">
        <f t="shared" si="16"/>
        <v>30000</v>
      </c>
      <c r="L249" s="328">
        <v>0</v>
      </c>
      <c r="M249" s="328">
        <f t="shared" si="17"/>
        <v>0</v>
      </c>
      <c r="N249" s="299"/>
      <c r="O249" s="328">
        <f t="shared" si="19"/>
        <v>-30000</v>
      </c>
      <c r="P249" s="299">
        <f t="shared" si="20"/>
        <v>-1</v>
      </c>
    </row>
    <row r="250" spans="1:16" s="10" customFormat="1">
      <c r="A250" s="135" t="s">
        <v>677</v>
      </c>
      <c r="B250" s="135" t="s">
        <v>609</v>
      </c>
      <c r="C250" s="537"/>
      <c r="D250" s="537"/>
      <c r="E250" s="331" t="s">
        <v>857</v>
      </c>
      <c r="F250" s="328"/>
      <c r="G250" s="135"/>
      <c r="H250" s="381">
        <v>7500</v>
      </c>
      <c r="I250" s="381"/>
      <c r="J250" s="136"/>
      <c r="K250" s="328">
        <f t="shared" si="16"/>
        <v>7500</v>
      </c>
      <c r="L250" s="328">
        <v>0</v>
      </c>
      <c r="M250" s="328">
        <f t="shared" si="17"/>
        <v>0</v>
      </c>
      <c r="N250" s="299"/>
      <c r="O250" s="328">
        <f t="shared" si="19"/>
        <v>-7500</v>
      </c>
      <c r="P250" s="299">
        <f t="shared" si="20"/>
        <v>-1</v>
      </c>
    </row>
    <row r="251" spans="1:16" s="5" customFormat="1">
      <c r="A251" s="604"/>
      <c r="B251" s="604"/>
      <c r="C251" s="497"/>
      <c r="D251" s="497"/>
      <c r="E251" s="713"/>
      <c r="F251" s="714"/>
      <c r="G251" s="604"/>
      <c r="H251" s="715"/>
      <c r="I251" s="715"/>
      <c r="J251" s="508"/>
      <c r="K251" s="714">
        <f t="shared" si="16"/>
        <v>0</v>
      </c>
      <c r="L251" s="714">
        <v>0</v>
      </c>
      <c r="M251" s="714">
        <f t="shared" si="17"/>
        <v>0</v>
      </c>
      <c r="N251" s="716"/>
      <c r="O251" s="714">
        <f t="shared" si="19"/>
        <v>0</v>
      </c>
      <c r="P251" s="716"/>
    </row>
    <row r="252" spans="1:16" s="5" customFormat="1">
      <c r="A252" s="604" t="s">
        <v>677</v>
      </c>
      <c r="B252" s="604" t="s">
        <v>609</v>
      </c>
      <c r="C252" s="604"/>
      <c r="D252" s="604"/>
      <c r="E252" s="617" t="s">
        <v>1058</v>
      </c>
      <c r="F252" s="533"/>
      <c r="G252" s="604"/>
      <c r="H252" s="508"/>
      <c r="I252" s="508"/>
      <c r="J252" s="508"/>
      <c r="K252" s="533">
        <f t="shared" si="16"/>
        <v>0</v>
      </c>
      <c r="L252" s="533">
        <v>200000</v>
      </c>
      <c r="M252" s="533">
        <f t="shared" si="17"/>
        <v>200000</v>
      </c>
      <c r="N252" s="650"/>
      <c r="O252" s="533">
        <f t="shared" si="19"/>
        <v>200000</v>
      </c>
      <c r="P252" s="650"/>
    </row>
    <row r="253" spans="1:16" s="5" customFormat="1">
      <c r="A253" s="604"/>
      <c r="B253" s="604"/>
      <c r="C253" s="497"/>
      <c r="D253" s="497"/>
      <c r="E253" s="717"/>
      <c r="F253" s="714"/>
      <c r="G253" s="604"/>
      <c r="H253" s="715"/>
      <c r="I253" s="715"/>
      <c r="J253" s="508"/>
      <c r="K253" s="714">
        <f t="shared" si="16"/>
        <v>0</v>
      </c>
      <c r="L253" s="714">
        <v>0</v>
      </c>
      <c r="M253" s="714">
        <f t="shared" si="17"/>
        <v>0</v>
      </c>
      <c r="N253" s="716"/>
      <c r="O253" s="714">
        <f t="shared" si="19"/>
        <v>0</v>
      </c>
      <c r="P253" s="716"/>
    </row>
    <row r="254" spans="1:16" s="10" customFormat="1">
      <c r="A254" s="135" t="s">
        <v>677</v>
      </c>
      <c r="B254" s="135" t="s">
        <v>609</v>
      </c>
      <c r="C254" s="537"/>
      <c r="D254" s="537"/>
      <c r="E254" s="273" t="s">
        <v>457</v>
      </c>
      <c r="F254" s="131">
        <f>1185000-500000</f>
        <v>685000</v>
      </c>
      <c r="G254" s="135"/>
      <c r="H254" s="136"/>
      <c r="I254" s="136"/>
      <c r="J254" s="136"/>
      <c r="K254" s="131">
        <f t="shared" si="16"/>
        <v>685000</v>
      </c>
      <c r="L254" s="131">
        <v>635000</v>
      </c>
      <c r="M254" s="131">
        <f t="shared" si="17"/>
        <v>-50000</v>
      </c>
      <c r="N254" s="157">
        <f t="shared" si="18"/>
        <v>-7.2992700729927001E-2</v>
      </c>
      <c r="O254" s="131">
        <f t="shared" si="19"/>
        <v>-50000</v>
      </c>
      <c r="P254" s="157">
        <f t="shared" si="20"/>
        <v>-7.2992700729927001E-2</v>
      </c>
    </row>
    <row r="255" spans="1:16" s="10" customFormat="1">
      <c r="A255" s="135"/>
      <c r="B255" s="135"/>
      <c r="C255" s="482"/>
      <c r="D255" s="482"/>
      <c r="E255" s="273"/>
      <c r="F255" s="131"/>
      <c r="G255" s="135"/>
      <c r="H255" s="136"/>
      <c r="I255" s="136"/>
      <c r="J255" s="136"/>
      <c r="K255" s="131">
        <f t="shared" si="16"/>
        <v>0</v>
      </c>
      <c r="L255" s="131">
        <v>0</v>
      </c>
      <c r="M255" s="131">
        <f t="shared" si="17"/>
        <v>0</v>
      </c>
      <c r="N255" s="157"/>
      <c r="O255" s="131">
        <f t="shared" si="19"/>
        <v>0</v>
      </c>
      <c r="P255" s="157"/>
    </row>
    <row r="256" spans="1:16" s="10" customFormat="1">
      <c r="A256" s="135" t="s">
        <v>678</v>
      </c>
      <c r="B256" s="135" t="s">
        <v>609</v>
      </c>
      <c r="C256" s="537"/>
      <c r="D256" s="537"/>
      <c r="E256" s="288" t="s">
        <v>456</v>
      </c>
      <c r="F256" s="289">
        <f>645000+238325</f>
        <v>883325</v>
      </c>
      <c r="G256" s="135"/>
      <c r="H256" s="136"/>
      <c r="I256" s="136"/>
      <c r="J256" s="136"/>
      <c r="K256" s="289">
        <f t="shared" si="16"/>
        <v>883325</v>
      </c>
      <c r="L256" s="289">
        <v>733325</v>
      </c>
      <c r="M256" s="289">
        <f t="shared" si="17"/>
        <v>-150000</v>
      </c>
      <c r="N256" s="282">
        <f t="shared" si="18"/>
        <v>-0.1698129227634223</v>
      </c>
      <c r="O256" s="289">
        <f t="shared" si="19"/>
        <v>-150000</v>
      </c>
      <c r="P256" s="282">
        <f t="shared" si="20"/>
        <v>-0.1698129227634223</v>
      </c>
    </row>
    <row r="257" spans="1:16" s="10" customFormat="1">
      <c r="A257" s="135"/>
      <c r="B257" s="135"/>
      <c r="C257" s="482"/>
      <c r="D257" s="482"/>
      <c r="E257" s="288"/>
      <c r="F257" s="289"/>
      <c r="G257" s="135"/>
      <c r="H257" s="136"/>
      <c r="I257" s="136"/>
      <c r="J257" s="136"/>
      <c r="K257" s="289">
        <f t="shared" si="16"/>
        <v>0</v>
      </c>
      <c r="L257" s="289">
        <v>0</v>
      </c>
      <c r="M257" s="289">
        <f t="shared" si="17"/>
        <v>0</v>
      </c>
      <c r="N257" s="282"/>
      <c r="O257" s="289">
        <f t="shared" si="19"/>
        <v>0</v>
      </c>
      <c r="P257" s="282"/>
    </row>
    <row r="258" spans="1:16" s="10" customFormat="1" ht="66">
      <c r="A258" s="135" t="s">
        <v>677</v>
      </c>
      <c r="B258" s="135" t="s">
        <v>609</v>
      </c>
      <c r="C258" s="537"/>
      <c r="D258" s="537"/>
      <c r="E258" s="288" t="s">
        <v>1229</v>
      </c>
      <c r="F258" s="289">
        <v>40000</v>
      </c>
      <c r="G258" s="135"/>
      <c r="H258" s="136"/>
      <c r="I258" s="136"/>
      <c r="J258" s="136"/>
      <c r="K258" s="289">
        <f t="shared" si="16"/>
        <v>40000</v>
      </c>
      <c r="L258" s="289">
        <v>45000</v>
      </c>
      <c r="M258" s="289">
        <f t="shared" si="17"/>
        <v>5000</v>
      </c>
      <c r="N258" s="282">
        <f t="shared" si="18"/>
        <v>0.125</v>
      </c>
      <c r="O258" s="289">
        <f t="shared" si="19"/>
        <v>5000</v>
      </c>
      <c r="P258" s="282">
        <f t="shared" si="20"/>
        <v>0.125</v>
      </c>
    </row>
    <row r="259" spans="1:16" s="10" customFormat="1">
      <c r="A259" s="135"/>
      <c r="B259" s="135"/>
      <c r="C259" s="482"/>
      <c r="D259" s="482"/>
      <c r="E259" s="288"/>
      <c r="F259" s="289"/>
      <c r="G259" s="135"/>
      <c r="H259" s="136"/>
      <c r="I259" s="136"/>
      <c r="J259" s="136"/>
      <c r="K259" s="289">
        <f t="shared" si="16"/>
        <v>0</v>
      </c>
      <c r="L259" s="289">
        <v>0</v>
      </c>
      <c r="M259" s="289">
        <f t="shared" si="17"/>
        <v>0</v>
      </c>
      <c r="N259" s="282"/>
      <c r="O259" s="289">
        <f t="shared" si="19"/>
        <v>0</v>
      </c>
      <c r="P259" s="282"/>
    </row>
    <row r="260" spans="1:16" s="10" customFormat="1" ht="13.8">
      <c r="A260" s="135" t="s">
        <v>678</v>
      </c>
      <c r="B260" s="135" t="s">
        <v>609</v>
      </c>
      <c r="C260" s="482"/>
      <c r="D260" s="482"/>
      <c r="E260" s="310" t="s">
        <v>151</v>
      </c>
      <c r="F260" s="311">
        <f>F261</f>
        <v>667696</v>
      </c>
      <c r="G260" s="135"/>
      <c r="H260" s="311">
        <f t="shared" ref="H260:J260" si="24">H261</f>
        <v>49000</v>
      </c>
      <c r="I260" s="311">
        <f t="shared" si="24"/>
        <v>86200</v>
      </c>
      <c r="J260" s="311">
        <f t="shared" si="24"/>
        <v>14056</v>
      </c>
      <c r="K260" s="311">
        <f t="shared" si="16"/>
        <v>816952</v>
      </c>
      <c r="L260" s="311">
        <f>L261</f>
        <v>846232</v>
      </c>
      <c r="M260" s="311">
        <f t="shared" si="17"/>
        <v>178536</v>
      </c>
      <c r="N260" s="313">
        <f t="shared" si="18"/>
        <v>0.26739114806738395</v>
      </c>
      <c r="O260" s="311">
        <f t="shared" si="19"/>
        <v>29280</v>
      </c>
      <c r="P260" s="313">
        <f t="shared" si="20"/>
        <v>3.5840538979034262E-2</v>
      </c>
    </row>
    <row r="261" spans="1:16" s="10" customFormat="1">
      <c r="A261" s="135"/>
      <c r="B261" s="135"/>
      <c r="C261" s="482"/>
      <c r="D261" s="482"/>
      <c r="E261" s="314" t="s">
        <v>159</v>
      </c>
      <c r="F261" s="127">
        <f>F264</f>
        <v>667696</v>
      </c>
      <c r="G261" s="135"/>
      <c r="H261" s="127">
        <f t="shared" ref="H261:J262" si="25">H264</f>
        <v>49000</v>
      </c>
      <c r="I261" s="127">
        <f t="shared" si="25"/>
        <v>86200</v>
      </c>
      <c r="J261" s="127">
        <f t="shared" si="25"/>
        <v>14056</v>
      </c>
      <c r="K261" s="127">
        <f t="shared" si="16"/>
        <v>816952</v>
      </c>
      <c r="L261" s="127">
        <f>L264</f>
        <v>846232</v>
      </c>
      <c r="M261" s="127">
        <f t="shared" si="17"/>
        <v>178536</v>
      </c>
      <c r="N261" s="160">
        <f t="shared" si="18"/>
        <v>0.26739114806738395</v>
      </c>
      <c r="O261" s="127">
        <f t="shared" si="19"/>
        <v>29280</v>
      </c>
      <c r="P261" s="160">
        <f t="shared" si="20"/>
        <v>3.5840538979034262E-2</v>
      </c>
    </row>
    <row r="262" spans="1:16" s="10" customFormat="1">
      <c r="A262" s="135"/>
      <c r="B262" s="135"/>
      <c r="C262" s="482"/>
      <c r="D262" s="482"/>
      <c r="E262" s="132" t="s">
        <v>47</v>
      </c>
      <c r="F262" s="124">
        <f>F265</f>
        <v>170390</v>
      </c>
      <c r="G262" s="135"/>
      <c r="H262" s="136"/>
      <c r="I262" s="136"/>
      <c r="J262" s="124">
        <f t="shared" si="25"/>
        <v>10506</v>
      </c>
      <c r="K262" s="124">
        <f t="shared" si="16"/>
        <v>180896</v>
      </c>
      <c r="L262" s="124">
        <f>L265</f>
        <v>182612</v>
      </c>
      <c r="M262" s="124">
        <f t="shared" si="17"/>
        <v>12222</v>
      </c>
      <c r="N262" s="270">
        <f t="shared" si="18"/>
        <v>7.1729561593990257E-2</v>
      </c>
      <c r="O262" s="124">
        <f t="shared" si="19"/>
        <v>1716</v>
      </c>
      <c r="P262" s="270">
        <f t="shared" si="20"/>
        <v>9.4861135680169816E-3</v>
      </c>
    </row>
    <row r="263" spans="1:16" s="10" customFormat="1">
      <c r="A263" s="135"/>
      <c r="B263" s="135"/>
      <c r="C263" s="482"/>
      <c r="D263" s="482"/>
      <c r="E263" s="315" t="s">
        <v>101</v>
      </c>
      <c r="F263" s="123"/>
      <c r="G263" s="135"/>
      <c r="H263" s="136"/>
      <c r="I263" s="136"/>
      <c r="J263" s="136"/>
      <c r="K263" s="123">
        <f t="shared" si="16"/>
        <v>0</v>
      </c>
      <c r="L263" s="123">
        <v>0</v>
      </c>
      <c r="M263" s="123">
        <f t="shared" si="17"/>
        <v>0</v>
      </c>
      <c r="N263" s="160"/>
      <c r="O263" s="123">
        <f t="shared" si="19"/>
        <v>0</v>
      </c>
      <c r="P263" s="160"/>
    </row>
    <row r="264" spans="1:16" s="10" customFormat="1">
      <c r="A264" s="135"/>
      <c r="B264" s="135"/>
      <c r="C264" s="537"/>
      <c r="D264" s="537"/>
      <c r="E264" s="37" t="s">
        <v>160</v>
      </c>
      <c r="F264" s="47">
        <f>1052696-385000</f>
        <v>667696</v>
      </c>
      <c r="G264" s="135"/>
      <c r="H264" s="136">
        <v>49000</v>
      </c>
      <c r="I264" s="136">
        <v>86200</v>
      </c>
      <c r="J264" s="136">
        <v>14056</v>
      </c>
      <c r="K264" s="47">
        <f t="shared" ref="K264:K327" si="26">F264+G264+H264+J264+I264</f>
        <v>816952</v>
      </c>
      <c r="L264" s="47">
        <v>846232</v>
      </c>
      <c r="M264" s="47">
        <f t="shared" ref="M264:M327" si="27">L264-F264</f>
        <v>178536</v>
      </c>
      <c r="N264" s="96">
        <f t="shared" ref="N264:N327" si="28">M264/F264</f>
        <v>0.26739114806738395</v>
      </c>
      <c r="O264" s="47">
        <f t="shared" ref="O264:O327" si="29">L264-K264</f>
        <v>29280</v>
      </c>
      <c r="P264" s="96">
        <f t="shared" ref="P264:P327" si="30">O264/K264</f>
        <v>3.5840538979034262E-2</v>
      </c>
    </row>
    <row r="265" spans="1:16" s="10" customFormat="1">
      <c r="A265" s="135"/>
      <c r="B265" s="135"/>
      <c r="C265" s="482"/>
      <c r="D265" s="482"/>
      <c r="E265" s="323" t="s">
        <v>47</v>
      </c>
      <c r="F265" s="124">
        <v>170390</v>
      </c>
      <c r="G265" s="135"/>
      <c r="H265" s="136"/>
      <c r="I265" s="136"/>
      <c r="J265" s="272">
        <v>10506</v>
      </c>
      <c r="K265" s="124">
        <f t="shared" si="26"/>
        <v>180896</v>
      </c>
      <c r="L265" s="124">
        <v>182612</v>
      </c>
      <c r="M265" s="124">
        <f t="shared" si="27"/>
        <v>12222</v>
      </c>
      <c r="N265" s="270">
        <f t="shared" si="28"/>
        <v>7.1729561593990257E-2</v>
      </c>
      <c r="O265" s="124">
        <f t="shared" si="29"/>
        <v>1716</v>
      </c>
      <c r="P265" s="270">
        <f t="shared" si="30"/>
        <v>9.4861135680169816E-3</v>
      </c>
    </row>
    <row r="266" spans="1:16" s="10" customFormat="1">
      <c r="A266" s="135"/>
      <c r="B266" s="135"/>
      <c r="C266" s="482"/>
      <c r="D266" s="482"/>
      <c r="E266" s="393"/>
      <c r="F266" s="321"/>
      <c r="G266" s="135"/>
      <c r="H266" s="136"/>
      <c r="I266" s="136"/>
      <c r="J266" s="136"/>
      <c r="K266" s="321">
        <f t="shared" si="26"/>
        <v>0</v>
      </c>
      <c r="L266" s="321">
        <v>0</v>
      </c>
      <c r="M266" s="321">
        <f t="shared" si="27"/>
        <v>0</v>
      </c>
      <c r="N266" s="322"/>
      <c r="O266" s="321">
        <f t="shared" si="29"/>
        <v>0</v>
      </c>
      <c r="P266" s="322"/>
    </row>
    <row r="267" spans="1:16" s="10" customFormat="1" ht="13.8">
      <c r="A267" s="135" t="s">
        <v>679</v>
      </c>
      <c r="B267" s="135" t="s">
        <v>609</v>
      </c>
      <c r="C267" s="482"/>
      <c r="D267" s="482"/>
      <c r="E267" s="310" t="s">
        <v>163</v>
      </c>
      <c r="F267" s="311">
        <f>F268+F282</f>
        <v>5560336</v>
      </c>
      <c r="G267" s="311">
        <f>G268+G282</f>
        <v>0</v>
      </c>
      <c r="H267" s="311">
        <f>H268+H282</f>
        <v>85000</v>
      </c>
      <c r="I267" s="311">
        <f>I268+I282</f>
        <v>420000</v>
      </c>
      <c r="J267" s="311">
        <f>J268+J282</f>
        <v>29954</v>
      </c>
      <c r="K267" s="311">
        <f t="shared" si="26"/>
        <v>6095290</v>
      </c>
      <c r="L267" s="311">
        <f>L268+L282+L286</f>
        <v>5007954</v>
      </c>
      <c r="M267" s="311">
        <f t="shared" si="27"/>
        <v>-552382</v>
      </c>
      <c r="N267" s="313">
        <f t="shared" si="28"/>
        <v>-9.9343277096923643E-2</v>
      </c>
      <c r="O267" s="311">
        <f t="shared" si="29"/>
        <v>-1087336</v>
      </c>
      <c r="P267" s="313">
        <f t="shared" si="30"/>
        <v>-0.17838954340154448</v>
      </c>
    </row>
    <row r="268" spans="1:16" s="10" customFormat="1">
      <c r="A268" s="135"/>
      <c r="B268" s="135"/>
      <c r="C268" s="482"/>
      <c r="D268" s="482"/>
      <c r="E268" s="314" t="s">
        <v>651</v>
      </c>
      <c r="F268" s="127">
        <f>F271+F275+F279</f>
        <v>5147956</v>
      </c>
      <c r="G268" s="127">
        <f>G271+G275+G279</f>
        <v>0</v>
      </c>
      <c r="H268" s="127">
        <f>H271+H275+H279</f>
        <v>60000</v>
      </c>
      <c r="I268" s="127">
        <f>I271+I275+I279</f>
        <v>420000</v>
      </c>
      <c r="J268" s="127">
        <f>J271+J275+J279</f>
        <v>29954</v>
      </c>
      <c r="K268" s="127">
        <f t="shared" si="26"/>
        <v>5657910</v>
      </c>
      <c r="L268" s="127">
        <f>L271+L275+L279</f>
        <v>4647574</v>
      </c>
      <c r="M268" s="127">
        <f t="shared" si="27"/>
        <v>-500382</v>
      </c>
      <c r="N268" s="160">
        <f t="shared" si="28"/>
        <v>-9.7200131469655143E-2</v>
      </c>
      <c r="O268" s="127">
        <f t="shared" si="29"/>
        <v>-1010336</v>
      </c>
      <c r="P268" s="160">
        <f t="shared" si="30"/>
        <v>-0.17857053222833166</v>
      </c>
    </row>
    <row r="269" spans="1:16" s="10" customFormat="1">
      <c r="A269" s="135"/>
      <c r="B269" s="135"/>
      <c r="C269" s="482"/>
      <c r="D269" s="482"/>
      <c r="E269" s="132" t="s">
        <v>47</v>
      </c>
      <c r="F269" s="124">
        <f>F272+F276</f>
        <v>620049</v>
      </c>
      <c r="G269" s="124">
        <f t="shared" ref="G269:J269" si="31">G272+G276</f>
        <v>0</v>
      </c>
      <c r="H269" s="124">
        <f t="shared" si="31"/>
        <v>13940</v>
      </c>
      <c r="I269" s="124">
        <f t="shared" si="31"/>
        <v>360</v>
      </c>
      <c r="J269" s="124">
        <f t="shared" si="31"/>
        <v>22387</v>
      </c>
      <c r="K269" s="124">
        <f t="shared" si="26"/>
        <v>656736</v>
      </c>
      <c r="L269" s="124">
        <f>L272+L276</f>
        <v>629486</v>
      </c>
      <c r="M269" s="124">
        <f t="shared" si="27"/>
        <v>9437</v>
      </c>
      <c r="N269" s="270">
        <f t="shared" si="28"/>
        <v>1.5219764889549051E-2</v>
      </c>
      <c r="O269" s="124">
        <f t="shared" si="29"/>
        <v>-27250</v>
      </c>
      <c r="P269" s="270">
        <f t="shared" si="30"/>
        <v>-4.149308093358671E-2</v>
      </c>
    </row>
    <row r="270" spans="1:16" s="10" customFormat="1">
      <c r="A270" s="135"/>
      <c r="B270" s="135"/>
      <c r="C270" s="482"/>
      <c r="D270" s="482"/>
      <c r="E270" s="315" t="s">
        <v>101</v>
      </c>
      <c r="F270" s="123"/>
      <c r="G270" s="135"/>
      <c r="H270" s="136"/>
      <c r="I270" s="136"/>
      <c r="J270" s="136"/>
      <c r="K270" s="123">
        <f t="shared" si="26"/>
        <v>0</v>
      </c>
      <c r="L270" s="123">
        <v>0</v>
      </c>
      <c r="M270" s="123">
        <f t="shared" si="27"/>
        <v>0</v>
      </c>
      <c r="N270" s="160"/>
      <c r="O270" s="123">
        <f t="shared" si="29"/>
        <v>0</v>
      </c>
      <c r="P270" s="160"/>
    </row>
    <row r="271" spans="1:16" s="10" customFormat="1">
      <c r="A271" s="135"/>
      <c r="B271" s="135"/>
      <c r="C271" s="537"/>
      <c r="D271" s="537"/>
      <c r="E271" s="37" t="s">
        <v>497</v>
      </c>
      <c r="F271" s="47">
        <v>3300000</v>
      </c>
      <c r="G271" s="135"/>
      <c r="H271" s="136"/>
      <c r="I271" s="136">
        <v>370000</v>
      </c>
      <c r="J271" s="136"/>
      <c r="K271" s="47">
        <f t="shared" si="26"/>
        <v>3670000</v>
      </c>
      <c r="L271" s="47">
        <v>1717000</v>
      </c>
      <c r="M271" s="47">
        <f t="shared" si="27"/>
        <v>-1583000</v>
      </c>
      <c r="N271" s="96">
        <f t="shared" si="28"/>
        <v>-0.47969696969696968</v>
      </c>
      <c r="O271" s="47">
        <f t="shared" si="29"/>
        <v>-1953000</v>
      </c>
      <c r="P271" s="96">
        <f t="shared" si="30"/>
        <v>-0.53215258855585834</v>
      </c>
    </row>
    <row r="272" spans="1:16" s="10" customFormat="1">
      <c r="A272" s="135"/>
      <c r="B272" s="135"/>
      <c r="C272" s="482"/>
      <c r="D272" s="482"/>
      <c r="E272" s="323" t="s">
        <v>47</v>
      </c>
      <c r="F272" s="124">
        <v>273006</v>
      </c>
      <c r="G272" s="135"/>
      <c r="H272" s="272">
        <v>13940</v>
      </c>
      <c r="I272" s="272">
        <v>360</v>
      </c>
      <c r="J272" s="136"/>
      <c r="K272" s="124">
        <f t="shared" si="26"/>
        <v>287306</v>
      </c>
      <c r="L272" s="124">
        <v>110283</v>
      </c>
      <c r="M272" s="124">
        <f t="shared" si="27"/>
        <v>-162723</v>
      </c>
      <c r="N272" s="270">
        <f t="shared" si="28"/>
        <v>-0.5960418452341707</v>
      </c>
      <c r="O272" s="124">
        <f t="shared" si="29"/>
        <v>-177023</v>
      </c>
      <c r="P272" s="270">
        <f t="shared" si="30"/>
        <v>-0.61614793982722249</v>
      </c>
    </row>
    <row r="273" spans="1:16" s="10" customFormat="1">
      <c r="A273" s="135"/>
      <c r="B273" s="135"/>
      <c r="C273" s="482"/>
      <c r="D273" s="482"/>
      <c r="E273" s="334"/>
      <c r="F273" s="335"/>
      <c r="G273" s="135"/>
      <c r="H273" s="136"/>
      <c r="I273" s="136"/>
      <c r="J273" s="136"/>
      <c r="K273" s="335">
        <f t="shared" si="26"/>
        <v>0</v>
      </c>
      <c r="L273" s="335">
        <v>0</v>
      </c>
      <c r="M273" s="335">
        <f t="shared" si="27"/>
        <v>0</v>
      </c>
      <c r="N273" s="322"/>
      <c r="O273" s="335">
        <f t="shared" si="29"/>
        <v>0</v>
      </c>
      <c r="P273" s="322"/>
    </row>
    <row r="274" spans="1:16" s="10" customFormat="1">
      <c r="A274" s="135"/>
      <c r="B274" s="135"/>
      <c r="C274" s="482"/>
      <c r="D274" s="482"/>
      <c r="E274" s="315" t="s">
        <v>101</v>
      </c>
      <c r="F274" s="123"/>
      <c r="G274" s="135"/>
      <c r="H274" s="136"/>
      <c r="I274" s="136"/>
      <c r="J274" s="136"/>
      <c r="K274" s="123">
        <f t="shared" si="26"/>
        <v>0</v>
      </c>
      <c r="L274" s="123">
        <v>0</v>
      </c>
      <c r="M274" s="123">
        <f t="shared" si="27"/>
        <v>0</v>
      </c>
      <c r="N274" s="160"/>
      <c r="O274" s="123">
        <f t="shared" si="29"/>
        <v>0</v>
      </c>
      <c r="P274" s="160"/>
    </row>
    <row r="275" spans="1:16" s="10" customFormat="1">
      <c r="A275" s="135"/>
      <c r="B275" s="135"/>
      <c r="C275" s="537"/>
      <c r="D275" s="537"/>
      <c r="E275" s="63" t="s">
        <v>648</v>
      </c>
      <c r="F275" s="74">
        <v>1744956</v>
      </c>
      <c r="G275" s="135"/>
      <c r="H275" s="136">
        <v>60000</v>
      </c>
      <c r="I275" s="136">
        <v>50000</v>
      </c>
      <c r="J275" s="136">
        <v>29954</v>
      </c>
      <c r="K275" s="74">
        <f t="shared" si="26"/>
        <v>1884910</v>
      </c>
      <c r="L275" s="74">
        <v>2512574</v>
      </c>
      <c r="M275" s="74">
        <f t="shared" si="27"/>
        <v>767618</v>
      </c>
      <c r="N275" s="95">
        <f t="shared" si="28"/>
        <v>0.43990679421142997</v>
      </c>
      <c r="O275" s="74">
        <f t="shared" si="29"/>
        <v>627664</v>
      </c>
      <c r="P275" s="95">
        <f t="shared" si="30"/>
        <v>0.33299414826172075</v>
      </c>
    </row>
    <row r="276" spans="1:16" s="10" customFormat="1">
      <c r="A276" s="135"/>
      <c r="B276" s="135"/>
      <c r="C276" s="482"/>
      <c r="D276" s="482"/>
      <c r="E276" s="323" t="s">
        <v>47</v>
      </c>
      <c r="F276" s="124">
        <v>347043</v>
      </c>
      <c r="G276" s="135"/>
      <c r="H276" s="136"/>
      <c r="I276" s="136"/>
      <c r="J276" s="272">
        <v>22387</v>
      </c>
      <c r="K276" s="124">
        <f t="shared" si="26"/>
        <v>369430</v>
      </c>
      <c r="L276" s="124">
        <v>519203</v>
      </c>
      <c r="M276" s="124">
        <f t="shared" si="27"/>
        <v>172160</v>
      </c>
      <c r="N276" s="270">
        <f t="shared" si="28"/>
        <v>0.496076855029492</v>
      </c>
      <c r="O276" s="124">
        <f t="shared" si="29"/>
        <v>149773</v>
      </c>
      <c r="P276" s="270">
        <f t="shared" si="30"/>
        <v>0.40541645237257395</v>
      </c>
    </row>
    <row r="277" spans="1:16" s="10" customFormat="1">
      <c r="A277" s="135"/>
      <c r="B277" s="135"/>
      <c r="C277" s="482"/>
      <c r="D277" s="482"/>
      <c r="E277" s="334"/>
      <c r="F277" s="335"/>
      <c r="G277" s="135"/>
      <c r="H277" s="136"/>
      <c r="I277" s="136"/>
      <c r="J277" s="136"/>
      <c r="K277" s="335">
        <f t="shared" si="26"/>
        <v>0</v>
      </c>
      <c r="L277" s="705">
        <v>0</v>
      </c>
      <c r="M277" s="705">
        <f t="shared" si="27"/>
        <v>0</v>
      </c>
      <c r="N277" s="711"/>
      <c r="O277" s="705">
        <f t="shared" si="29"/>
        <v>0</v>
      </c>
      <c r="P277" s="711"/>
    </row>
    <row r="278" spans="1:16" s="10" customFormat="1">
      <c r="A278" s="135"/>
      <c r="B278" s="135"/>
      <c r="C278" s="482"/>
      <c r="D278" s="482"/>
      <c r="E278" s="315" t="s">
        <v>101</v>
      </c>
      <c r="F278" s="123"/>
      <c r="G278" s="135"/>
      <c r="H278" s="136"/>
      <c r="I278" s="136"/>
      <c r="J278" s="136"/>
      <c r="K278" s="123">
        <f t="shared" si="26"/>
        <v>0</v>
      </c>
      <c r="L278" s="706">
        <v>0</v>
      </c>
      <c r="M278" s="706">
        <f t="shared" si="27"/>
        <v>0</v>
      </c>
      <c r="N278" s="712"/>
      <c r="O278" s="706">
        <f t="shared" si="29"/>
        <v>0</v>
      </c>
      <c r="P278" s="712"/>
    </row>
    <row r="279" spans="1:16" s="10" customFormat="1">
      <c r="A279" s="135"/>
      <c r="B279" s="135"/>
      <c r="C279" s="537"/>
      <c r="D279" s="537"/>
      <c r="E279" s="37" t="s">
        <v>652</v>
      </c>
      <c r="F279" s="47">
        <f>303000-200000</f>
        <v>103000</v>
      </c>
      <c r="G279" s="135"/>
      <c r="H279" s="136"/>
      <c r="I279" s="136"/>
      <c r="J279" s="136"/>
      <c r="K279" s="47">
        <f t="shared" si="26"/>
        <v>103000</v>
      </c>
      <c r="L279" s="47">
        <v>418000</v>
      </c>
      <c r="M279" s="47">
        <f t="shared" si="27"/>
        <v>315000</v>
      </c>
      <c r="N279" s="96">
        <f t="shared" si="28"/>
        <v>3.058252427184466</v>
      </c>
      <c r="O279" s="47">
        <f t="shared" si="29"/>
        <v>315000</v>
      </c>
      <c r="P279" s="96">
        <f t="shared" si="30"/>
        <v>3.058252427184466</v>
      </c>
    </row>
    <row r="280" spans="1:16" s="10" customFormat="1">
      <c r="A280" s="135"/>
      <c r="B280" s="135"/>
      <c r="C280" s="482"/>
      <c r="D280" s="482"/>
      <c r="E280" s="37"/>
      <c r="F280" s="47"/>
      <c r="G280" s="135"/>
      <c r="H280" s="136"/>
      <c r="I280" s="136"/>
      <c r="J280" s="136"/>
      <c r="K280" s="47">
        <f t="shared" si="26"/>
        <v>0</v>
      </c>
      <c r="L280" s="47">
        <v>0</v>
      </c>
      <c r="M280" s="47">
        <f t="shared" si="27"/>
        <v>0</v>
      </c>
      <c r="N280" s="96"/>
      <c r="O280" s="47">
        <f t="shared" si="29"/>
        <v>0</v>
      </c>
      <c r="P280" s="96"/>
    </row>
    <row r="281" spans="1:16" s="10" customFormat="1">
      <c r="A281" s="135"/>
      <c r="B281" s="135"/>
      <c r="C281" s="482"/>
      <c r="D281" s="482"/>
      <c r="E281" s="315" t="s">
        <v>619</v>
      </c>
      <c r="F281" s="123"/>
      <c r="G281" s="135"/>
      <c r="H281" s="136"/>
      <c r="I281" s="136"/>
      <c r="J281" s="136"/>
      <c r="K281" s="123">
        <f t="shared" si="26"/>
        <v>0</v>
      </c>
      <c r="L281" s="123">
        <v>0</v>
      </c>
      <c r="M281" s="123">
        <f t="shared" si="27"/>
        <v>0</v>
      </c>
      <c r="N281" s="160"/>
      <c r="O281" s="123">
        <f t="shared" si="29"/>
        <v>0</v>
      </c>
      <c r="P281" s="160"/>
    </row>
    <row r="282" spans="1:16" s="147" customFormat="1">
      <c r="C282" s="537"/>
      <c r="D282" s="537"/>
      <c r="E282" s="336" t="s">
        <v>295</v>
      </c>
      <c r="F282" s="268">
        <v>412380</v>
      </c>
      <c r="H282" s="214">
        <v>25000</v>
      </c>
      <c r="I282" s="214"/>
      <c r="J282" s="309"/>
      <c r="K282" s="268">
        <f t="shared" si="26"/>
        <v>437380</v>
      </c>
      <c r="L282" s="268">
        <v>360380</v>
      </c>
      <c r="M282" s="268">
        <f t="shared" si="27"/>
        <v>-52000</v>
      </c>
      <c r="N282" s="157">
        <f t="shared" si="28"/>
        <v>-0.12609728890828847</v>
      </c>
      <c r="O282" s="268">
        <f t="shared" si="29"/>
        <v>-77000</v>
      </c>
      <c r="P282" s="157">
        <f t="shared" si="30"/>
        <v>-0.17604828753029403</v>
      </c>
    </row>
    <row r="283" spans="1:16" s="147" customFormat="1">
      <c r="C283" s="537"/>
      <c r="D283" s="537"/>
      <c r="E283" s="336"/>
      <c r="F283" s="268"/>
      <c r="H283" s="214"/>
      <c r="I283" s="214"/>
      <c r="J283" s="309"/>
      <c r="K283" s="268">
        <f t="shared" si="26"/>
        <v>0</v>
      </c>
      <c r="L283" s="268">
        <v>0</v>
      </c>
      <c r="M283" s="268">
        <f t="shared" si="27"/>
        <v>0</v>
      </c>
      <c r="N283" s="157"/>
      <c r="O283" s="268">
        <f t="shared" si="29"/>
        <v>0</v>
      </c>
      <c r="P283" s="157"/>
    </row>
    <row r="284" spans="1:16" s="147" customFormat="1" ht="26.4">
      <c r="C284" s="537"/>
      <c r="D284" s="537"/>
      <c r="E284" s="337" t="s">
        <v>1059</v>
      </c>
      <c r="F284" s="268"/>
      <c r="H284" s="214"/>
      <c r="I284" s="214"/>
      <c r="J284" s="309"/>
      <c r="K284" s="268">
        <f t="shared" si="26"/>
        <v>0</v>
      </c>
      <c r="L284" s="268">
        <v>0</v>
      </c>
      <c r="M284" s="268">
        <f t="shared" si="27"/>
        <v>0</v>
      </c>
      <c r="N284" s="157"/>
      <c r="O284" s="268">
        <f t="shared" si="29"/>
        <v>0</v>
      </c>
      <c r="P284" s="157"/>
    </row>
    <row r="285" spans="1:16" s="147" customFormat="1">
      <c r="C285" s="536"/>
      <c r="D285" s="536"/>
      <c r="E285" s="334"/>
      <c r="F285" s="335"/>
      <c r="H285" s="309"/>
      <c r="I285" s="309"/>
      <c r="J285" s="309"/>
      <c r="K285" s="335">
        <f t="shared" si="26"/>
        <v>0</v>
      </c>
      <c r="L285" s="268">
        <v>0</v>
      </c>
      <c r="M285" s="268">
        <f t="shared" si="27"/>
        <v>0</v>
      </c>
      <c r="N285" s="157"/>
      <c r="O285" s="268">
        <f t="shared" si="29"/>
        <v>0</v>
      </c>
      <c r="P285" s="157"/>
    </row>
    <row r="286" spans="1:16" s="147" customFormat="1" ht="39.6">
      <c r="C286" s="537"/>
      <c r="D286" s="537"/>
      <c r="E286" s="337" t="s">
        <v>858</v>
      </c>
      <c r="F286" s="335"/>
      <c r="H286" s="309"/>
      <c r="I286" s="309"/>
      <c r="J286" s="309"/>
      <c r="K286" s="335">
        <f t="shared" si="26"/>
        <v>0</v>
      </c>
      <c r="L286" s="268">
        <v>0</v>
      </c>
      <c r="M286" s="268">
        <f t="shared" si="27"/>
        <v>0</v>
      </c>
      <c r="N286" s="157"/>
      <c r="O286" s="268">
        <f t="shared" si="29"/>
        <v>0</v>
      </c>
      <c r="P286" s="157"/>
    </row>
    <row r="287" spans="1:16" s="147" customFormat="1">
      <c r="C287" s="536"/>
      <c r="D287" s="536"/>
      <c r="E287" s="337"/>
      <c r="F287" s="335"/>
      <c r="H287" s="309"/>
      <c r="I287" s="309"/>
      <c r="J287" s="309"/>
      <c r="K287" s="335">
        <f t="shared" si="26"/>
        <v>0</v>
      </c>
      <c r="L287" s="268">
        <v>0</v>
      </c>
      <c r="M287" s="268">
        <f t="shared" si="27"/>
        <v>0</v>
      </c>
      <c r="N287" s="157"/>
      <c r="O287" s="268">
        <f t="shared" si="29"/>
        <v>0</v>
      </c>
      <c r="P287" s="157"/>
    </row>
    <row r="288" spans="1:16" s="147" customFormat="1">
      <c r="C288" s="536"/>
      <c r="D288" s="536"/>
      <c r="E288" s="307" t="s">
        <v>224</v>
      </c>
      <c r="F288" s="335"/>
      <c r="H288" s="309"/>
      <c r="I288" s="309"/>
      <c r="J288" s="309"/>
      <c r="K288" s="335">
        <f t="shared" si="26"/>
        <v>0</v>
      </c>
      <c r="L288" s="268">
        <v>0</v>
      </c>
      <c r="M288" s="268">
        <f t="shared" si="27"/>
        <v>0</v>
      </c>
      <c r="N288" s="157"/>
      <c r="O288" s="268">
        <f t="shared" si="29"/>
        <v>0</v>
      </c>
      <c r="P288" s="157"/>
    </row>
    <row r="289" spans="1:16" s="147" customFormat="1">
      <c r="C289" s="536"/>
      <c r="D289" s="536"/>
      <c r="E289" s="334"/>
      <c r="F289" s="335"/>
      <c r="H289" s="309"/>
      <c r="I289" s="309"/>
      <c r="J289" s="309"/>
      <c r="K289" s="335">
        <f t="shared" si="26"/>
        <v>0</v>
      </c>
      <c r="L289" s="268">
        <v>0</v>
      </c>
      <c r="M289" s="268">
        <f t="shared" si="27"/>
        <v>0</v>
      </c>
      <c r="N289" s="157"/>
      <c r="O289" s="268">
        <f t="shared" si="29"/>
        <v>0</v>
      </c>
      <c r="P289" s="157"/>
    </row>
    <row r="290" spans="1:16" ht="15.6">
      <c r="E290" s="259" t="s">
        <v>100</v>
      </c>
      <c r="F290" s="260"/>
      <c r="G290" s="135"/>
      <c r="H290" s="309"/>
      <c r="I290" s="309"/>
      <c r="J290" s="136"/>
      <c r="K290" s="260">
        <f t="shared" si="26"/>
        <v>0</v>
      </c>
      <c r="L290" s="260">
        <v>0</v>
      </c>
      <c r="M290" s="260">
        <f t="shared" si="27"/>
        <v>0</v>
      </c>
      <c r="N290" s="275"/>
      <c r="O290" s="260">
        <f t="shared" si="29"/>
        <v>0</v>
      </c>
      <c r="P290" s="275"/>
    </row>
    <row r="291" spans="1:16">
      <c r="E291" s="147"/>
      <c r="F291" s="136"/>
      <c r="G291" s="135"/>
      <c r="H291" s="135"/>
      <c r="I291" s="136"/>
      <c r="J291" s="136"/>
      <c r="K291" s="136">
        <f t="shared" si="26"/>
        <v>0</v>
      </c>
      <c r="L291" s="136">
        <v>0</v>
      </c>
      <c r="M291" s="136">
        <f t="shared" si="27"/>
        <v>0</v>
      </c>
      <c r="N291" s="157"/>
      <c r="O291" s="136">
        <f t="shared" si="29"/>
        <v>0</v>
      </c>
      <c r="P291" s="157"/>
    </row>
    <row r="292" spans="1:16">
      <c r="E292" s="261" t="s">
        <v>98</v>
      </c>
      <c r="F292" s="127">
        <f>F300+F303</f>
        <v>2334156</v>
      </c>
      <c r="G292" s="135"/>
      <c r="H292" s="127">
        <f t="shared" ref="H292:J292" si="32">H300+H303</f>
        <v>118032</v>
      </c>
      <c r="I292" s="127">
        <f t="shared" si="32"/>
        <v>-30792</v>
      </c>
      <c r="J292" s="127">
        <f t="shared" si="32"/>
        <v>69794</v>
      </c>
      <c r="K292" s="127">
        <f t="shared" si="26"/>
        <v>2491190</v>
      </c>
      <c r="L292" s="127">
        <f>L300+L303</f>
        <v>2518057</v>
      </c>
      <c r="M292" s="127">
        <f t="shared" si="27"/>
        <v>183901</v>
      </c>
      <c r="N292" s="160">
        <f t="shared" si="28"/>
        <v>7.8786936263043256E-2</v>
      </c>
      <c r="O292" s="127">
        <f t="shared" si="29"/>
        <v>26867</v>
      </c>
      <c r="P292" s="160">
        <f t="shared" si="30"/>
        <v>1.0784805655128673E-2</v>
      </c>
    </row>
    <row r="293" spans="1:16">
      <c r="E293" s="262" t="s">
        <v>359</v>
      </c>
      <c r="F293" s="128">
        <v>60000</v>
      </c>
      <c r="G293" s="135"/>
      <c r="H293" s="136"/>
      <c r="I293" s="138">
        <v>1300</v>
      </c>
      <c r="J293" s="136"/>
      <c r="K293" s="128">
        <f t="shared" si="26"/>
        <v>61300</v>
      </c>
      <c r="L293" s="128">
        <v>61500</v>
      </c>
      <c r="M293" s="128">
        <f t="shared" si="27"/>
        <v>1500</v>
      </c>
      <c r="N293" s="91">
        <f t="shared" si="28"/>
        <v>2.5000000000000001E-2</v>
      </c>
      <c r="O293" s="128">
        <f t="shared" si="29"/>
        <v>200</v>
      </c>
      <c r="P293" s="91">
        <f t="shared" si="30"/>
        <v>3.2626427406199023E-3</v>
      </c>
    </row>
    <row r="294" spans="1:16">
      <c r="E294" s="261" t="s">
        <v>44</v>
      </c>
      <c r="F294" s="127">
        <f>F295+F296+F297</f>
        <v>2334156</v>
      </c>
      <c r="G294" s="135"/>
      <c r="H294" s="127">
        <f t="shared" ref="H294:J294" si="33">H295+H296+H297</f>
        <v>118032</v>
      </c>
      <c r="I294" s="127">
        <f t="shared" si="33"/>
        <v>-30792</v>
      </c>
      <c r="J294" s="127">
        <f t="shared" si="33"/>
        <v>69794</v>
      </c>
      <c r="K294" s="127">
        <f t="shared" si="26"/>
        <v>2491190</v>
      </c>
      <c r="L294" s="127">
        <f>L295+L296+L297</f>
        <v>2518057</v>
      </c>
      <c r="M294" s="127">
        <f t="shared" si="27"/>
        <v>183901</v>
      </c>
      <c r="N294" s="160">
        <f t="shared" si="28"/>
        <v>7.8786936263043256E-2</v>
      </c>
      <c r="O294" s="127">
        <f t="shared" si="29"/>
        <v>26867</v>
      </c>
      <c r="P294" s="160">
        <f t="shared" si="30"/>
        <v>1.0784805655128673E-2</v>
      </c>
    </row>
    <row r="295" spans="1:16">
      <c r="E295" s="262" t="s">
        <v>45</v>
      </c>
      <c r="F295" s="128">
        <v>265541</v>
      </c>
      <c r="G295" s="135"/>
      <c r="H295" s="136"/>
      <c r="I295" s="138">
        <f>'2.2 OMATULUD'!E50</f>
        <v>-30000</v>
      </c>
      <c r="J295" s="136"/>
      <c r="K295" s="128">
        <f t="shared" si="26"/>
        <v>235541</v>
      </c>
      <c r="L295" s="128">
        <v>265541</v>
      </c>
      <c r="M295" s="128">
        <f t="shared" si="27"/>
        <v>0</v>
      </c>
      <c r="N295" s="91">
        <f t="shared" si="28"/>
        <v>0</v>
      </c>
      <c r="O295" s="128">
        <f t="shared" si="29"/>
        <v>30000</v>
      </c>
      <c r="P295" s="91">
        <f t="shared" si="30"/>
        <v>0.12736636084588246</v>
      </c>
    </row>
    <row r="296" spans="1:16">
      <c r="E296" s="263" t="s">
        <v>0</v>
      </c>
      <c r="F296" s="128">
        <v>464368</v>
      </c>
      <c r="G296" s="135"/>
      <c r="H296" s="136">
        <v>41893</v>
      </c>
      <c r="I296" s="138"/>
      <c r="J296" s="136"/>
      <c r="K296" s="128">
        <f t="shared" si="26"/>
        <v>506261</v>
      </c>
      <c r="L296" s="128">
        <v>506261</v>
      </c>
      <c r="M296" s="128">
        <f t="shared" si="27"/>
        <v>41893</v>
      </c>
      <c r="N296" s="91">
        <f t="shared" si="28"/>
        <v>9.0215088033628502E-2</v>
      </c>
      <c r="O296" s="128">
        <f t="shared" si="29"/>
        <v>0</v>
      </c>
      <c r="P296" s="91">
        <f t="shared" si="30"/>
        <v>0</v>
      </c>
    </row>
    <row r="297" spans="1:16">
      <c r="E297" s="263" t="s">
        <v>46</v>
      </c>
      <c r="F297" s="128">
        <f>F292-F295-F296</f>
        <v>1604247</v>
      </c>
      <c r="G297" s="135"/>
      <c r="H297" s="128">
        <f t="shared" ref="H297:J297" si="34">H292-H295-H296</f>
        <v>76139</v>
      </c>
      <c r="I297" s="128">
        <f t="shared" si="34"/>
        <v>-792</v>
      </c>
      <c r="J297" s="128">
        <f t="shared" si="34"/>
        <v>69794</v>
      </c>
      <c r="K297" s="128">
        <f t="shared" si="26"/>
        <v>1749388</v>
      </c>
      <c r="L297" s="128">
        <f t="shared" ref="L297" si="35">L292-L295-L296</f>
        <v>1746255</v>
      </c>
      <c r="M297" s="128">
        <f t="shared" si="27"/>
        <v>142008</v>
      </c>
      <c r="N297" s="91">
        <f t="shared" si="28"/>
        <v>8.8520034633070843E-2</v>
      </c>
      <c r="O297" s="128">
        <f t="shared" si="29"/>
        <v>-3133</v>
      </c>
      <c r="P297" s="91">
        <f t="shared" si="30"/>
        <v>-1.7909120218041967E-3</v>
      </c>
    </row>
    <row r="298" spans="1:16" s="10" customFormat="1">
      <c r="A298" s="135"/>
      <c r="B298" s="135"/>
      <c r="C298" s="482"/>
      <c r="D298" s="482"/>
      <c r="E298" s="264" t="s">
        <v>718</v>
      </c>
      <c r="F298" s="129">
        <f>F301</f>
        <v>706614</v>
      </c>
      <c r="G298" s="135"/>
      <c r="H298" s="129">
        <f t="shared" ref="H298:J298" si="36">H301</f>
        <v>56905</v>
      </c>
      <c r="I298" s="129">
        <f t="shared" si="36"/>
        <v>-23014</v>
      </c>
      <c r="J298" s="129">
        <f t="shared" si="36"/>
        <v>52163</v>
      </c>
      <c r="K298" s="129">
        <f t="shared" si="26"/>
        <v>792668</v>
      </c>
      <c r="L298" s="129">
        <f t="shared" ref="L298" si="37">L301</f>
        <v>770108</v>
      </c>
      <c r="M298" s="129">
        <f t="shared" si="27"/>
        <v>63494</v>
      </c>
      <c r="N298" s="265">
        <f t="shared" si="28"/>
        <v>8.9856696867030655E-2</v>
      </c>
      <c r="O298" s="129">
        <f t="shared" si="29"/>
        <v>-22560</v>
      </c>
      <c r="P298" s="265">
        <f t="shared" si="30"/>
        <v>-2.8460843631886237E-2</v>
      </c>
    </row>
    <row r="299" spans="1:16">
      <c r="E299" s="338"/>
      <c r="F299" s="279"/>
      <c r="G299" s="135"/>
      <c r="H299" s="136"/>
      <c r="I299" s="136"/>
      <c r="J299" s="136"/>
      <c r="K299" s="279">
        <f t="shared" si="26"/>
        <v>0</v>
      </c>
      <c r="L299" s="279">
        <v>0</v>
      </c>
      <c r="M299" s="279">
        <f t="shared" si="27"/>
        <v>0</v>
      </c>
      <c r="N299" s="278"/>
      <c r="O299" s="279">
        <f t="shared" si="29"/>
        <v>0</v>
      </c>
      <c r="P299" s="278"/>
    </row>
    <row r="300" spans="1:16">
      <c r="A300" s="77" t="s">
        <v>670</v>
      </c>
      <c r="B300" s="77" t="s">
        <v>100</v>
      </c>
      <c r="C300" s="537"/>
      <c r="D300" s="537"/>
      <c r="E300" s="339" t="s">
        <v>317</v>
      </c>
      <c r="F300" s="123">
        <v>1091156</v>
      </c>
      <c r="G300" s="135"/>
      <c r="H300" s="123">
        <v>118032</v>
      </c>
      <c r="I300" s="123">
        <v>-30792</v>
      </c>
      <c r="J300" s="136">
        <v>69794</v>
      </c>
      <c r="K300" s="123">
        <f t="shared" si="26"/>
        <v>1248190</v>
      </c>
      <c r="L300" s="123">
        <v>1275057</v>
      </c>
      <c r="M300" s="123">
        <f t="shared" si="27"/>
        <v>183901</v>
      </c>
      <c r="N300" s="160">
        <f t="shared" si="28"/>
        <v>0.16853777095117473</v>
      </c>
      <c r="O300" s="123">
        <f t="shared" si="29"/>
        <v>26867</v>
      </c>
      <c r="P300" s="160">
        <f t="shared" si="30"/>
        <v>2.1524767863866878E-2</v>
      </c>
    </row>
    <row r="301" spans="1:16">
      <c r="E301" s="132" t="s">
        <v>47</v>
      </c>
      <c r="F301" s="124">
        <v>706614</v>
      </c>
      <c r="G301" s="135"/>
      <c r="H301" s="272">
        <v>56905</v>
      </c>
      <c r="I301" s="272">
        <v>-23014</v>
      </c>
      <c r="J301" s="272">
        <v>52163</v>
      </c>
      <c r="K301" s="124">
        <f t="shared" si="26"/>
        <v>792668</v>
      </c>
      <c r="L301" s="124">
        <v>770108</v>
      </c>
      <c r="M301" s="124">
        <f t="shared" si="27"/>
        <v>63494</v>
      </c>
      <c r="N301" s="270">
        <f t="shared" si="28"/>
        <v>8.9856696867030655E-2</v>
      </c>
      <c r="O301" s="124">
        <f t="shared" si="29"/>
        <v>-22560</v>
      </c>
      <c r="P301" s="270">
        <f t="shared" si="30"/>
        <v>-2.8460843631886237E-2</v>
      </c>
    </row>
    <row r="302" spans="1:16">
      <c r="E302" s="340"/>
      <c r="F302" s="341"/>
      <c r="G302" s="135"/>
      <c r="H302" s="136"/>
      <c r="I302" s="136"/>
      <c r="J302" s="136"/>
      <c r="K302" s="341">
        <f t="shared" si="26"/>
        <v>0</v>
      </c>
      <c r="L302" s="341">
        <v>0</v>
      </c>
      <c r="M302" s="341">
        <f t="shared" si="27"/>
        <v>0</v>
      </c>
      <c r="N302" s="342"/>
      <c r="O302" s="341">
        <f t="shared" si="29"/>
        <v>0</v>
      </c>
      <c r="P302" s="342"/>
    </row>
    <row r="303" spans="1:16">
      <c r="E303" s="261" t="s">
        <v>102</v>
      </c>
      <c r="F303" s="127">
        <f>F305</f>
        <v>1243000</v>
      </c>
      <c r="G303" s="135"/>
      <c r="H303" s="136"/>
      <c r="I303" s="136"/>
      <c r="J303" s="136"/>
      <c r="K303" s="127">
        <f t="shared" si="26"/>
        <v>1243000</v>
      </c>
      <c r="L303" s="127">
        <v>1243000</v>
      </c>
      <c r="M303" s="127">
        <f t="shared" si="27"/>
        <v>0</v>
      </c>
      <c r="N303" s="160">
        <f t="shared" si="28"/>
        <v>0</v>
      </c>
      <c r="O303" s="127">
        <f t="shared" si="29"/>
        <v>0</v>
      </c>
      <c r="P303" s="160">
        <f t="shared" si="30"/>
        <v>0</v>
      </c>
    </row>
    <row r="304" spans="1:16">
      <c r="E304" s="261"/>
      <c r="F304" s="127"/>
      <c r="G304" s="135"/>
      <c r="H304" s="136"/>
      <c r="I304" s="136"/>
      <c r="J304" s="136"/>
      <c r="K304" s="127">
        <f t="shared" si="26"/>
        <v>0</v>
      </c>
      <c r="L304" s="127">
        <v>0</v>
      </c>
      <c r="M304" s="127">
        <f t="shared" si="27"/>
        <v>0</v>
      </c>
      <c r="N304" s="160"/>
      <c r="O304" s="127">
        <f t="shared" si="29"/>
        <v>0</v>
      </c>
      <c r="P304" s="160"/>
    </row>
    <row r="305" spans="1:16">
      <c r="A305" s="77" t="s">
        <v>675</v>
      </c>
      <c r="B305" s="77" t="s">
        <v>100</v>
      </c>
      <c r="C305" s="537"/>
      <c r="D305" s="537"/>
      <c r="E305" s="267" t="s">
        <v>736</v>
      </c>
      <c r="F305" s="268">
        <v>1243000</v>
      </c>
      <c r="G305" s="135"/>
      <c r="H305" s="136"/>
      <c r="I305" s="136"/>
      <c r="J305" s="136"/>
      <c r="K305" s="268">
        <f t="shared" si="26"/>
        <v>1243000</v>
      </c>
      <c r="L305" s="268">
        <v>1243000</v>
      </c>
      <c r="M305" s="268">
        <f t="shared" si="27"/>
        <v>0</v>
      </c>
      <c r="N305" s="157">
        <f t="shared" si="28"/>
        <v>0</v>
      </c>
      <c r="O305" s="268">
        <f t="shared" si="29"/>
        <v>0</v>
      </c>
      <c r="P305" s="157">
        <f t="shared" si="30"/>
        <v>0</v>
      </c>
    </row>
    <row r="306" spans="1:16">
      <c r="E306" s="340"/>
      <c r="F306" s="341"/>
      <c r="G306" s="135"/>
      <c r="H306" s="136"/>
      <c r="I306" s="136"/>
      <c r="J306" s="135"/>
      <c r="K306" s="341">
        <f t="shared" si="26"/>
        <v>0</v>
      </c>
      <c r="L306" s="341">
        <v>0</v>
      </c>
      <c r="M306" s="341">
        <f t="shared" si="27"/>
        <v>0</v>
      </c>
      <c r="N306" s="342"/>
      <c r="O306" s="341">
        <f t="shared" si="29"/>
        <v>0</v>
      </c>
      <c r="P306" s="342"/>
    </row>
    <row r="307" spans="1:16">
      <c r="E307" s="343"/>
      <c r="F307" s="138"/>
      <c r="G307" s="135"/>
      <c r="H307" s="135"/>
      <c r="I307" s="136"/>
      <c r="J307" s="135"/>
      <c r="K307" s="138">
        <f t="shared" si="26"/>
        <v>0</v>
      </c>
      <c r="L307" s="138">
        <v>0</v>
      </c>
      <c r="M307" s="138">
        <f t="shared" si="27"/>
        <v>0</v>
      </c>
      <c r="N307" s="91"/>
      <c r="O307" s="138">
        <f t="shared" si="29"/>
        <v>0</v>
      </c>
      <c r="P307" s="91"/>
    </row>
    <row r="308" spans="1:16" ht="15.6">
      <c r="E308" s="259" t="s">
        <v>48</v>
      </c>
      <c r="F308" s="260"/>
      <c r="G308" s="135"/>
      <c r="H308" s="135"/>
      <c r="I308" s="136"/>
      <c r="J308" s="135"/>
      <c r="K308" s="260">
        <f t="shared" si="26"/>
        <v>0</v>
      </c>
      <c r="L308" s="260">
        <v>0</v>
      </c>
      <c r="M308" s="260">
        <f t="shared" si="27"/>
        <v>0</v>
      </c>
      <c r="N308" s="275"/>
      <c r="O308" s="260">
        <f t="shared" si="29"/>
        <v>0</v>
      </c>
      <c r="P308" s="275"/>
    </row>
    <row r="309" spans="1:16">
      <c r="E309" s="261"/>
      <c r="F309" s="127"/>
      <c r="G309" s="135"/>
      <c r="H309" s="135"/>
      <c r="I309" s="136"/>
      <c r="J309" s="135"/>
      <c r="K309" s="127">
        <f t="shared" si="26"/>
        <v>0</v>
      </c>
      <c r="L309" s="127">
        <v>0</v>
      </c>
      <c r="M309" s="127">
        <f t="shared" si="27"/>
        <v>0</v>
      </c>
      <c r="N309" s="160"/>
      <c r="O309" s="127">
        <f t="shared" si="29"/>
        <v>0</v>
      </c>
      <c r="P309" s="160"/>
    </row>
    <row r="310" spans="1:16">
      <c r="E310" s="261" t="s">
        <v>98</v>
      </c>
      <c r="F310" s="127">
        <f>F319+F389+F383</f>
        <v>289198912</v>
      </c>
      <c r="G310" s="127">
        <f>G319+G389+G383</f>
        <v>2995830</v>
      </c>
      <c r="H310" s="127">
        <f>H319+H389+H383</f>
        <v>2147047</v>
      </c>
      <c r="I310" s="127">
        <f>I319+I389+I383</f>
        <v>4832043</v>
      </c>
      <c r="J310" s="127">
        <f>J319+J389+J383</f>
        <v>167498</v>
      </c>
      <c r="K310" s="127">
        <f t="shared" si="26"/>
        <v>299341330</v>
      </c>
      <c r="L310" s="127">
        <f>L319+L389+L383</f>
        <v>350222831</v>
      </c>
      <c r="M310" s="127">
        <f t="shared" si="27"/>
        <v>61023919</v>
      </c>
      <c r="N310" s="160">
        <f t="shared" si="28"/>
        <v>0.2110101956400168</v>
      </c>
      <c r="O310" s="127">
        <f t="shared" si="29"/>
        <v>50881501</v>
      </c>
      <c r="P310" s="160">
        <f t="shared" si="30"/>
        <v>0.16997820180728135</v>
      </c>
    </row>
    <row r="311" spans="1:16">
      <c r="E311" s="262" t="s">
        <v>359</v>
      </c>
      <c r="F311" s="128">
        <v>9661800</v>
      </c>
      <c r="G311" s="128"/>
      <c r="H311" s="128">
        <v>929100</v>
      </c>
      <c r="I311" s="128">
        <v>100000</v>
      </c>
      <c r="J311" s="128"/>
      <c r="K311" s="128">
        <f t="shared" si="26"/>
        <v>10690900</v>
      </c>
      <c r="L311" s="128">
        <v>10259646</v>
      </c>
      <c r="M311" s="128">
        <f t="shared" si="27"/>
        <v>597846</v>
      </c>
      <c r="N311" s="91">
        <f t="shared" si="28"/>
        <v>6.1877289945972802E-2</v>
      </c>
      <c r="O311" s="128">
        <f t="shared" si="29"/>
        <v>-431254</v>
      </c>
      <c r="P311" s="91">
        <f t="shared" si="30"/>
        <v>-4.0338418655117905E-2</v>
      </c>
    </row>
    <row r="312" spans="1:16">
      <c r="E312" s="261" t="s">
        <v>44</v>
      </c>
      <c r="F312" s="127">
        <f>SUM(F313:F316)</f>
        <v>289198912</v>
      </c>
      <c r="G312" s="127">
        <f>SUM(G313:G316)</f>
        <v>2995830</v>
      </c>
      <c r="H312" s="127">
        <f t="shared" ref="H312" si="38">SUM(H313:H316)</f>
        <v>2147047</v>
      </c>
      <c r="I312" s="127">
        <f>SUM(I313:I316)</f>
        <v>4832043</v>
      </c>
      <c r="J312" s="127">
        <f>SUM(J313:J316)</f>
        <v>167498</v>
      </c>
      <c r="K312" s="127">
        <f t="shared" si="26"/>
        <v>299341330</v>
      </c>
      <c r="L312" s="127">
        <f>SUM(L313:L316)</f>
        <v>350222831</v>
      </c>
      <c r="M312" s="127">
        <f t="shared" si="27"/>
        <v>61023919</v>
      </c>
      <c r="N312" s="160">
        <f t="shared" si="28"/>
        <v>0.2110101956400168</v>
      </c>
      <c r="O312" s="127">
        <f t="shared" si="29"/>
        <v>50881501</v>
      </c>
      <c r="P312" s="160">
        <f t="shared" si="30"/>
        <v>0.16997820180728135</v>
      </c>
    </row>
    <row r="313" spans="1:16">
      <c r="E313" s="262" t="s">
        <v>45</v>
      </c>
      <c r="F313" s="128">
        <v>29003903</v>
      </c>
      <c r="G313" s="128"/>
      <c r="H313" s="128">
        <v>333010</v>
      </c>
      <c r="I313" s="128">
        <f>'2.2 OMATULUD'!E55</f>
        <v>461220</v>
      </c>
      <c r="J313" s="128"/>
      <c r="K313" s="128">
        <f t="shared" si="26"/>
        <v>29798133</v>
      </c>
      <c r="L313" s="128">
        <v>30294810</v>
      </c>
      <c r="M313" s="128">
        <f t="shared" si="27"/>
        <v>1290907</v>
      </c>
      <c r="N313" s="91">
        <f t="shared" si="28"/>
        <v>4.4508044313898029E-2</v>
      </c>
      <c r="O313" s="128">
        <f t="shared" si="29"/>
        <v>496677</v>
      </c>
      <c r="P313" s="91">
        <f t="shared" si="30"/>
        <v>1.6668057693413209E-2</v>
      </c>
    </row>
    <row r="314" spans="1:16">
      <c r="E314" s="263" t="s">
        <v>0</v>
      </c>
      <c r="F314" s="128">
        <f>F331+F344+F381</f>
        <v>117509662</v>
      </c>
      <c r="G314" s="128">
        <f>G331+G344</f>
        <v>0</v>
      </c>
      <c r="H314" s="128">
        <f>H331+H344+H353+H452</f>
        <v>776209</v>
      </c>
      <c r="I314" s="128">
        <f>I331+I344+I353+I381+I368+14200</f>
        <v>4471271</v>
      </c>
      <c r="J314" s="128">
        <f>J331+J344</f>
        <v>0</v>
      </c>
      <c r="K314" s="128">
        <f t="shared" si="26"/>
        <v>122757142</v>
      </c>
      <c r="L314" s="128">
        <f>L331+L344+L353+L368+L381+L452</f>
        <v>144046696</v>
      </c>
      <c r="M314" s="128">
        <f t="shared" si="27"/>
        <v>26537034</v>
      </c>
      <c r="N314" s="91">
        <f t="shared" si="28"/>
        <v>0.22582852804052828</v>
      </c>
      <c r="O314" s="128">
        <f t="shared" si="29"/>
        <v>21289554</v>
      </c>
      <c r="P314" s="91">
        <f t="shared" si="30"/>
        <v>0.17342823116556427</v>
      </c>
    </row>
    <row r="315" spans="1:16">
      <c r="E315" s="263" t="s">
        <v>33</v>
      </c>
      <c r="F315" s="128">
        <f>F448</f>
        <v>58515</v>
      </c>
      <c r="G315" s="128">
        <f>G448</f>
        <v>0</v>
      </c>
      <c r="H315" s="128">
        <f>H453</f>
        <v>104546</v>
      </c>
      <c r="I315" s="128">
        <f>I448</f>
        <v>0</v>
      </c>
      <c r="J315" s="128">
        <f>J448</f>
        <v>0</v>
      </c>
      <c r="K315" s="128">
        <f t="shared" si="26"/>
        <v>163061</v>
      </c>
      <c r="L315" s="128">
        <v>58516</v>
      </c>
      <c r="M315" s="128">
        <f t="shared" si="27"/>
        <v>1</v>
      </c>
      <c r="N315" s="91">
        <f t="shared" si="28"/>
        <v>1.708963513628984E-5</v>
      </c>
      <c r="O315" s="128">
        <f t="shared" si="29"/>
        <v>-104545</v>
      </c>
      <c r="P315" s="91">
        <f t="shared" si="30"/>
        <v>-0.64114043210822946</v>
      </c>
    </row>
    <row r="316" spans="1:16">
      <c r="E316" s="263" t="s">
        <v>46</v>
      </c>
      <c r="F316" s="128">
        <f>F310-F313-F314-F315</f>
        <v>142626832</v>
      </c>
      <c r="G316" s="128">
        <f>G310-G313-G314-G315</f>
        <v>2995830</v>
      </c>
      <c r="H316" s="128">
        <f>H310-H313-H314-H315</f>
        <v>933282</v>
      </c>
      <c r="I316" s="128">
        <f>I310-I313-I314-I315</f>
        <v>-100448</v>
      </c>
      <c r="J316" s="128">
        <f>J310-J313-J314-J315</f>
        <v>167498</v>
      </c>
      <c r="K316" s="128">
        <f t="shared" si="26"/>
        <v>146622994</v>
      </c>
      <c r="L316" s="128">
        <f>L310-L313-L314-L315</f>
        <v>175822809</v>
      </c>
      <c r="M316" s="128">
        <f t="shared" si="27"/>
        <v>33195977</v>
      </c>
      <c r="N316" s="91">
        <f t="shared" si="28"/>
        <v>0.23274706823748284</v>
      </c>
      <c r="O316" s="128">
        <f t="shared" si="29"/>
        <v>29199815</v>
      </c>
      <c r="P316" s="91">
        <f t="shared" si="30"/>
        <v>0.19914894794741403</v>
      </c>
    </row>
    <row r="317" spans="1:16" s="10" customFormat="1">
      <c r="A317" s="135"/>
      <c r="B317" s="135"/>
      <c r="C317" s="482"/>
      <c r="D317" s="482"/>
      <c r="E317" s="264" t="s">
        <v>718</v>
      </c>
      <c r="F317" s="129">
        <f>F321+F334+F347+F356+F371+F392+F399+F413+F426+F446</f>
        <v>163751290</v>
      </c>
      <c r="G317" s="129">
        <f>G321+G334+G347+G356+G371+G392+G399+G413+G426+G446</f>
        <v>2239020</v>
      </c>
      <c r="H317" s="129">
        <f>H321+H334+H347+H356+H371+H392+H399+H413+H426+H446</f>
        <v>1110505</v>
      </c>
      <c r="I317" s="129">
        <f>I321+I334+I347+I356+I371+I392+I399+I413+I426+I446+I408</f>
        <v>2547991</v>
      </c>
      <c r="J317" s="129">
        <f>J321+J334+J347+J356+J371+J392+J399+J413+J426+J446</f>
        <v>125185</v>
      </c>
      <c r="K317" s="129">
        <f t="shared" si="26"/>
        <v>169773991</v>
      </c>
      <c r="L317" s="129">
        <f>L321+L334+L347+L356+L371+L392+L399+L413+L426+L446</f>
        <v>205252543</v>
      </c>
      <c r="M317" s="129">
        <f t="shared" si="27"/>
        <v>41501253</v>
      </c>
      <c r="N317" s="265">
        <f t="shared" si="28"/>
        <v>0.25344076984065284</v>
      </c>
      <c r="O317" s="129">
        <f t="shared" si="29"/>
        <v>35478552</v>
      </c>
      <c r="P317" s="265">
        <f t="shared" si="30"/>
        <v>0.20897518984518659</v>
      </c>
    </row>
    <row r="318" spans="1:16">
      <c r="E318" s="10"/>
      <c r="F318" s="136"/>
      <c r="G318" s="135"/>
      <c r="H318" s="136"/>
      <c r="I318" s="136"/>
      <c r="J318" s="135"/>
      <c r="K318" s="136">
        <f t="shared" si="26"/>
        <v>0</v>
      </c>
      <c r="L318" s="136">
        <v>0</v>
      </c>
      <c r="M318" s="136">
        <f t="shared" si="27"/>
        <v>0</v>
      </c>
      <c r="N318" s="157"/>
      <c r="O318" s="136">
        <f t="shared" si="29"/>
        <v>0</v>
      </c>
      <c r="P318" s="157"/>
    </row>
    <row r="319" spans="1:16" ht="13.8">
      <c r="A319" s="77" t="s">
        <v>671</v>
      </c>
      <c r="B319" s="77" t="s">
        <v>48</v>
      </c>
      <c r="E319" s="344" t="s">
        <v>211</v>
      </c>
      <c r="F319" s="126">
        <f>F320+F333+F346+F355+F370</f>
        <v>284961328</v>
      </c>
      <c r="G319" s="126">
        <f>G320+G333+G346+G355+G370</f>
        <v>2995830</v>
      </c>
      <c r="H319" s="126">
        <f>H320+H333+H346+H355+H370</f>
        <v>1756650</v>
      </c>
      <c r="I319" s="126">
        <f>I320+I333+I346+I355+I370</f>
        <v>4740012</v>
      </c>
      <c r="J319" s="126">
        <f>J320+J333+J346+J355+J370</f>
        <v>0</v>
      </c>
      <c r="K319" s="126">
        <f t="shared" si="26"/>
        <v>294453820</v>
      </c>
      <c r="L319" s="126">
        <f>L320+L333+L346+L355+L370</f>
        <v>345501774</v>
      </c>
      <c r="M319" s="126">
        <f t="shared" si="27"/>
        <v>60540446</v>
      </c>
      <c r="N319" s="313">
        <f t="shared" si="28"/>
        <v>0.2124514453413833</v>
      </c>
      <c r="O319" s="126">
        <f t="shared" si="29"/>
        <v>51047954</v>
      </c>
      <c r="P319" s="313">
        <f t="shared" si="30"/>
        <v>0.17336488961155266</v>
      </c>
    </row>
    <row r="320" spans="1:16">
      <c r="E320" s="339" t="s">
        <v>212</v>
      </c>
      <c r="F320" s="123">
        <v>103909482</v>
      </c>
      <c r="G320" s="123">
        <f t="shared" ref="G320:J323" si="39">G326</f>
        <v>2686885</v>
      </c>
      <c r="H320" s="123">
        <f t="shared" si="39"/>
        <v>279693</v>
      </c>
      <c r="I320" s="123">
        <f>I326</f>
        <v>1469036</v>
      </c>
      <c r="J320" s="123">
        <f t="shared" si="39"/>
        <v>0</v>
      </c>
      <c r="K320" s="123">
        <f t="shared" si="26"/>
        <v>108345096</v>
      </c>
      <c r="L320" s="123">
        <v>128651072</v>
      </c>
      <c r="M320" s="123">
        <f t="shared" si="27"/>
        <v>24741590</v>
      </c>
      <c r="N320" s="160">
        <f t="shared" si="28"/>
        <v>0.2381071440621752</v>
      </c>
      <c r="O320" s="123">
        <f t="shared" si="29"/>
        <v>20305976</v>
      </c>
      <c r="P320" s="160">
        <f t="shared" si="30"/>
        <v>0.18741942874830256</v>
      </c>
    </row>
    <row r="321" spans="3:16">
      <c r="E321" s="132" t="s">
        <v>47</v>
      </c>
      <c r="F321" s="124">
        <v>61562216</v>
      </c>
      <c r="G321" s="124">
        <f t="shared" si="39"/>
        <v>2008130</v>
      </c>
      <c r="H321" s="124">
        <f t="shared" si="39"/>
        <v>-85882</v>
      </c>
      <c r="I321" s="124">
        <f>I327</f>
        <v>268766</v>
      </c>
      <c r="J321" s="124">
        <f t="shared" si="39"/>
        <v>0</v>
      </c>
      <c r="K321" s="124">
        <f t="shared" si="26"/>
        <v>63753230</v>
      </c>
      <c r="L321" s="124">
        <v>78503319</v>
      </c>
      <c r="M321" s="124">
        <f t="shared" si="27"/>
        <v>16941103</v>
      </c>
      <c r="N321" s="270">
        <f t="shared" si="28"/>
        <v>0.27518669893234515</v>
      </c>
      <c r="O321" s="124">
        <f t="shared" si="29"/>
        <v>14750089</v>
      </c>
      <c r="P321" s="270">
        <f t="shared" si="30"/>
        <v>0.23136222274542012</v>
      </c>
    </row>
    <row r="322" spans="3:16">
      <c r="E322" s="323" t="s">
        <v>213</v>
      </c>
      <c r="F322" s="124">
        <v>379000</v>
      </c>
      <c r="G322" s="124">
        <f>G328</f>
        <v>9635</v>
      </c>
      <c r="H322" s="124">
        <f t="shared" si="39"/>
        <v>1660</v>
      </c>
      <c r="I322" s="124">
        <f t="shared" ref="I322" si="40">I328</f>
        <v>430</v>
      </c>
      <c r="J322" s="124">
        <f t="shared" si="39"/>
        <v>0</v>
      </c>
      <c r="K322" s="124">
        <f t="shared" si="26"/>
        <v>390725</v>
      </c>
      <c r="L322" s="124">
        <v>456080</v>
      </c>
      <c r="M322" s="124">
        <f t="shared" si="27"/>
        <v>77080</v>
      </c>
      <c r="N322" s="270">
        <f t="shared" si="28"/>
        <v>0.203377308707124</v>
      </c>
      <c r="O322" s="124">
        <f t="shared" si="29"/>
        <v>65355</v>
      </c>
      <c r="P322" s="270">
        <f t="shared" si="30"/>
        <v>0.16726597990914327</v>
      </c>
    </row>
    <row r="323" spans="3:16">
      <c r="E323" s="323" t="s">
        <v>214</v>
      </c>
      <c r="F323" s="124">
        <v>265827</v>
      </c>
      <c r="G323" s="124">
        <f>G329</f>
        <v>0</v>
      </c>
      <c r="H323" s="124">
        <f t="shared" si="39"/>
        <v>0</v>
      </c>
      <c r="I323" s="124">
        <f t="shared" ref="I323" si="41">I329</f>
        <v>0</v>
      </c>
      <c r="J323" s="124">
        <f t="shared" si="39"/>
        <v>0</v>
      </c>
      <c r="K323" s="124">
        <f t="shared" si="26"/>
        <v>265827</v>
      </c>
      <c r="L323" s="124">
        <v>325347</v>
      </c>
      <c r="M323" s="124">
        <f t="shared" si="27"/>
        <v>59520</v>
      </c>
      <c r="N323" s="270">
        <f t="shared" si="28"/>
        <v>0.22390502093466805</v>
      </c>
      <c r="O323" s="124">
        <f t="shared" si="29"/>
        <v>59520</v>
      </c>
      <c r="P323" s="270">
        <f t="shared" si="30"/>
        <v>0.22390502093466805</v>
      </c>
    </row>
    <row r="324" spans="3:16">
      <c r="E324" s="345"/>
      <c r="F324" s="346"/>
      <c r="G324" s="135"/>
      <c r="H324" s="135"/>
      <c r="I324" s="136"/>
      <c r="J324" s="135"/>
      <c r="K324" s="124">
        <f t="shared" si="26"/>
        <v>0</v>
      </c>
      <c r="L324" s="346">
        <v>0</v>
      </c>
      <c r="M324" s="346">
        <f t="shared" si="27"/>
        <v>0</v>
      </c>
      <c r="N324" s="347"/>
      <c r="O324" s="346">
        <f t="shared" si="29"/>
        <v>0</v>
      </c>
      <c r="P324" s="347"/>
    </row>
    <row r="325" spans="3:16">
      <c r="E325" s="348" t="s">
        <v>859</v>
      </c>
      <c r="F325" s="346"/>
      <c r="G325" s="135"/>
      <c r="H325" s="135"/>
      <c r="I325" s="136"/>
      <c r="J325" s="135"/>
      <c r="K325" s="124">
        <f t="shared" si="26"/>
        <v>0</v>
      </c>
      <c r="L325" s="346">
        <v>0</v>
      </c>
      <c r="M325" s="346">
        <f t="shared" si="27"/>
        <v>0</v>
      </c>
      <c r="N325" s="347"/>
      <c r="O325" s="346">
        <f t="shared" si="29"/>
        <v>0</v>
      </c>
      <c r="P325" s="347"/>
    </row>
    <row r="326" spans="3:16">
      <c r="C326" s="537" t="s">
        <v>957</v>
      </c>
      <c r="D326" s="537"/>
      <c r="E326" s="349" t="s">
        <v>746</v>
      </c>
      <c r="F326" s="136">
        <v>103909482</v>
      </c>
      <c r="G326" s="136">
        <v>2686885</v>
      </c>
      <c r="H326" s="136">
        <v>279693</v>
      </c>
      <c r="I326" s="136">
        <v>1469036</v>
      </c>
      <c r="J326" s="136"/>
      <c r="K326" s="136">
        <f t="shared" si="26"/>
        <v>108345096</v>
      </c>
      <c r="L326" s="136">
        <v>128651072</v>
      </c>
      <c r="M326" s="136">
        <f t="shared" si="27"/>
        <v>24741590</v>
      </c>
      <c r="N326" s="157">
        <f t="shared" si="28"/>
        <v>0.2381071440621752</v>
      </c>
      <c r="O326" s="136">
        <f t="shared" si="29"/>
        <v>20305976</v>
      </c>
      <c r="P326" s="157">
        <f t="shared" si="30"/>
        <v>0.18741942874830256</v>
      </c>
    </row>
    <row r="327" spans="3:16">
      <c r="E327" s="350" t="s">
        <v>47</v>
      </c>
      <c r="F327" s="124">
        <v>61562216</v>
      </c>
      <c r="G327" s="124">
        <v>2008130</v>
      </c>
      <c r="H327" s="124">
        <v>-85882</v>
      </c>
      <c r="I327" s="124">
        <v>268766</v>
      </c>
      <c r="J327" s="124"/>
      <c r="K327" s="124">
        <f t="shared" si="26"/>
        <v>63753230</v>
      </c>
      <c r="L327" s="124">
        <v>78503319</v>
      </c>
      <c r="M327" s="124">
        <f t="shared" si="27"/>
        <v>16941103</v>
      </c>
      <c r="N327" s="270">
        <f t="shared" si="28"/>
        <v>0.27518669893234515</v>
      </c>
      <c r="O327" s="124">
        <f t="shared" si="29"/>
        <v>14750089</v>
      </c>
      <c r="P327" s="270">
        <f t="shared" si="30"/>
        <v>0.23136222274542012</v>
      </c>
    </row>
    <row r="328" spans="3:16">
      <c r="E328" s="351" t="s">
        <v>213</v>
      </c>
      <c r="F328" s="124">
        <v>379000</v>
      </c>
      <c r="G328" s="124">
        <v>9635</v>
      </c>
      <c r="H328" s="124">
        <v>1660</v>
      </c>
      <c r="I328" s="124">
        <v>430</v>
      </c>
      <c r="J328" s="124"/>
      <c r="K328" s="124">
        <f t="shared" ref="K328:K391" si="42">F328+G328+H328+J328+I328</f>
        <v>390725</v>
      </c>
      <c r="L328" s="124">
        <v>456080</v>
      </c>
      <c r="M328" s="124">
        <f t="shared" ref="M328:M391" si="43">L328-F328</f>
        <v>77080</v>
      </c>
      <c r="N328" s="270">
        <f t="shared" ref="N328:N391" si="44">M328/F328</f>
        <v>0.203377308707124</v>
      </c>
      <c r="O328" s="124">
        <f t="shared" ref="O328:O391" si="45">L328-K328</f>
        <v>65355</v>
      </c>
      <c r="P328" s="270">
        <f t="shared" ref="P328:P391" si="46">O328/K328</f>
        <v>0.16726597990914327</v>
      </c>
    </row>
    <row r="329" spans="3:16">
      <c r="E329" s="351" t="s">
        <v>214</v>
      </c>
      <c r="F329" s="124">
        <v>265827</v>
      </c>
      <c r="G329" s="124"/>
      <c r="H329" s="124"/>
      <c r="I329" s="124">
        <v>0</v>
      </c>
      <c r="J329" s="124"/>
      <c r="K329" s="124">
        <f t="shared" si="42"/>
        <v>265827</v>
      </c>
      <c r="L329" s="124">
        <v>325347</v>
      </c>
      <c r="M329" s="124">
        <f t="shared" si="43"/>
        <v>59520</v>
      </c>
      <c r="N329" s="270">
        <f t="shared" si="44"/>
        <v>0.22390502093466805</v>
      </c>
      <c r="O329" s="124">
        <f t="shared" si="45"/>
        <v>59520</v>
      </c>
      <c r="P329" s="270">
        <f t="shared" si="46"/>
        <v>0.22390502093466805</v>
      </c>
    </row>
    <row r="330" spans="3:16">
      <c r="E330" s="345"/>
      <c r="F330" s="346"/>
      <c r="G330" s="135"/>
      <c r="H330" s="135"/>
      <c r="I330" s="136"/>
      <c r="J330" s="135"/>
      <c r="K330" s="124">
        <f t="shared" si="42"/>
        <v>0</v>
      </c>
      <c r="L330" s="124">
        <v>0</v>
      </c>
      <c r="M330" s="124">
        <f t="shared" si="43"/>
        <v>0</v>
      </c>
      <c r="N330" s="270"/>
      <c r="O330" s="124">
        <f t="shared" si="45"/>
        <v>0</v>
      </c>
      <c r="P330" s="270"/>
    </row>
    <row r="331" spans="3:16">
      <c r="E331" s="307" t="s">
        <v>507</v>
      </c>
      <c r="F331" s="125">
        <v>2347144</v>
      </c>
      <c r="G331" s="125"/>
      <c r="H331" s="125">
        <v>-35667</v>
      </c>
      <c r="I331" s="125">
        <f>391456+1000000-369760+40765</f>
        <v>1062461</v>
      </c>
      <c r="J331" s="125"/>
      <c r="K331" s="125">
        <f t="shared" si="42"/>
        <v>3373938</v>
      </c>
      <c r="L331" s="125">
        <v>2311477</v>
      </c>
      <c r="M331" s="125">
        <f t="shared" si="43"/>
        <v>-35667</v>
      </c>
      <c r="N331" s="284">
        <f t="shared" si="44"/>
        <v>-1.5195914694624616E-2</v>
      </c>
      <c r="O331" s="125">
        <f t="shared" si="45"/>
        <v>-1062461</v>
      </c>
      <c r="P331" s="284">
        <f t="shared" si="46"/>
        <v>-0.31490234853159721</v>
      </c>
    </row>
    <row r="332" spans="3:16">
      <c r="E332" s="345"/>
      <c r="F332" s="346"/>
      <c r="G332" s="135"/>
      <c r="H332" s="135"/>
      <c r="I332" s="346"/>
      <c r="J332" s="135"/>
      <c r="K332" s="346">
        <f t="shared" si="42"/>
        <v>0</v>
      </c>
      <c r="L332" s="346">
        <v>0</v>
      </c>
      <c r="M332" s="346">
        <f t="shared" si="43"/>
        <v>0</v>
      </c>
      <c r="N332" s="347"/>
      <c r="O332" s="346">
        <f t="shared" si="45"/>
        <v>0</v>
      </c>
      <c r="P332" s="347"/>
    </row>
    <row r="333" spans="3:16">
      <c r="E333" s="339" t="s">
        <v>860</v>
      </c>
      <c r="F333" s="123">
        <v>167523887</v>
      </c>
      <c r="G333" s="123">
        <f t="shared" ref="G333:J335" si="47">G339</f>
        <v>81120</v>
      </c>
      <c r="H333" s="123">
        <f t="shared" si="47"/>
        <v>1540239</v>
      </c>
      <c r="I333" s="123">
        <f>I339</f>
        <v>2725687</v>
      </c>
      <c r="J333" s="123">
        <f t="shared" si="47"/>
        <v>0</v>
      </c>
      <c r="K333" s="123">
        <f t="shared" si="42"/>
        <v>171870933</v>
      </c>
      <c r="L333" s="123">
        <f>L339</f>
        <v>200917756</v>
      </c>
      <c r="M333" s="123">
        <f t="shared" si="43"/>
        <v>33393869</v>
      </c>
      <c r="N333" s="160">
        <f t="shared" si="44"/>
        <v>0.19933795471209428</v>
      </c>
      <c r="O333" s="123">
        <f t="shared" si="45"/>
        <v>29046823</v>
      </c>
      <c r="P333" s="160">
        <f t="shared" si="46"/>
        <v>0.16900369651219616</v>
      </c>
    </row>
    <row r="334" spans="3:16">
      <c r="E334" s="132" t="s">
        <v>47</v>
      </c>
      <c r="F334" s="124">
        <v>92041953</v>
      </c>
      <c r="G334" s="124">
        <f t="shared" si="47"/>
        <v>60625</v>
      </c>
      <c r="H334" s="124">
        <f t="shared" si="47"/>
        <v>1210221</v>
      </c>
      <c r="I334" s="124">
        <f>I340</f>
        <v>2147944</v>
      </c>
      <c r="J334" s="124">
        <f t="shared" si="47"/>
        <v>0</v>
      </c>
      <c r="K334" s="124">
        <f t="shared" si="42"/>
        <v>95460743</v>
      </c>
      <c r="L334" s="124">
        <f>L340</f>
        <v>114957477</v>
      </c>
      <c r="M334" s="124">
        <f t="shared" si="43"/>
        <v>22915524</v>
      </c>
      <c r="N334" s="270">
        <f t="shared" si="44"/>
        <v>0.24896825038034559</v>
      </c>
      <c r="O334" s="124">
        <f t="shared" si="45"/>
        <v>19496734</v>
      </c>
      <c r="P334" s="270">
        <f t="shared" si="46"/>
        <v>0.20423823853958481</v>
      </c>
    </row>
    <row r="335" spans="3:16">
      <c r="E335" s="350" t="s">
        <v>215</v>
      </c>
      <c r="F335" s="124">
        <v>3173334</v>
      </c>
      <c r="G335" s="124">
        <f>G341</f>
        <v>0</v>
      </c>
      <c r="H335" s="124">
        <f>H341</f>
        <v>0</v>
      </c>
      <c r="I335" s="124">
        <f>I341</f>
        <v>8241</v>
      </c>
      <c r="J335" s="124">
        <f t="shared" si="47"/>
        <v>0</v>
      </c>
      <c r="K335" s="124">
        <f t="shared" si="42"/>
        <v>3181575</v>
      </c>
      <c r="L335" s="124">
        <f>L341</f>
        <v>3173334</v>
      </c>
      <c r="M335" s="124">
        <f t="shared" si="43"/>
        <v>0</v>
      </c>
      <c r="N335" s="270">
        <f t="shared" si="44"/>
        <v>0</v>
      </c>
      <c r="O335" s="124">
        <f t="shared" si="45"/>
        <v>-8241</v>
      </c>
      <c r="P335" s="270">
        <f t="shared" si="46"/>
        <v>-2.5902265387426041E-3</v>
      </c>
    </row>
    <row r="336" spans="3:16">
      <c r="E336" s="323" t="s">
        <v>861</v>
      </c>
      <c r="F336" s="124"/>
      <c r="G336" s="124"/>
      <c r="H336" s="124">
        <f>H342</f>
        <v>100000</v>
      </c>
      <c r="I336" s="124">
        <f>I342</f>
        <v>0</v>
      </c>
      <c r="J336" s="124"/>
      <c r="K336" s="124">
        <f t="shared" si="42"/>
        <v>100000</v>
      </c>
      <c r="L336" s="124">
        <f>L342</f>
        <v>100000</v>
      </c>
      <c r="M336" s="124">
        <f t="shared" si="43"/>
        <v>100000</v>
      </c>
      <c r="N336" s="270"/>
      <c r="O336" s="124">
        <f t="shared" si="45"/>
        <v>0</v>
      </c>
      <c r="P336" s="270">
        <f t="shared" si="46"/>
        <v>0</v>
      </c>
    </row>
    <row r="337" spans="3:16">
      <c r="E337" s="350"/>
      <c r="F337" s="124"/>
      <c r="G337" s="135"/>
      <c r="H337" s="135"/>
      <c r="I337" s="124"/>
      <c r="J337" s="135"/>
      <c r="K337" s="124">
        <f t="shared" si="42"/>
        <v>0</v>
      </c>
      <c r="L337" s="124">
        <v>0</v>
      </c>
      <c r="M337" s="124">
        <f t="shared" si="43"/>
        <v>0</v>
      </c>
      <c r="N337" s="270"/>
      <c r="O337" s="124">
        <f t="shared" si="45"/>
        <v>0</v>
      </c>
      <c r="P337" s="270"/>
    </row>
    <row r="338" spans="3:16">
      <c r="E338" s="348" t="s">
        <v>859</v>
      </c>
      <c r="F338" s="124"/>
      <c r="G338" s="135"/>
      <c r="H338" s="135"/>
      <c r="I338" s="124"/>
      <c r="J338" s="135"/>
      <c r="K338" s="124">
        <f t="shared" si="42"/>
        <v>0</v>
      </c>
      <c r="L338" s="124">
        <v>0</v>
      </c>
      <c r="M338" s="124">
        <f t="shared" si="43"/>
        <v>0</v>
      </c>
      <c r="N338" s="270"/>
      <c r="O338" s="124">
        <f t="shared" si="45"/>
        <v>0</v>
      </c>
      <c r="P338" s="270"/>
    </row>
    <row r="339" spans="3:16" ht="15.6">
      <c r="C339" s="537" t="s">
        <v>957</v>
      </c>
      <c r="D339" s="537"/>
      <c r="E339" s="349" t="s">
        <v>862</v>
      </c>
      <c r="F339" s="136">
        <v>167523887</v>
      </c>
      <c r="G339" s="136">
        <v>81120</v>
      </c>
      <c r="H339" s="123">
        <v>1540239</v>
      </c>
      <c r="I339" s="136">
        <v>2725687</v>
      </c>
      <c r="J339" s="136"/>
      <c r="K339" s="136">
        <f t="shared" si="42"/>
        <v>171870933</v>
      </c>
      <c r="L339" s="136">
        <v>200917756</v>
      </c>
      <c r="M339" s="136">
        <f t="shared" si="43"/>
        <v>33393869</v>
      </c>
      <c r="N339" s="157">
        <f t="shared" si="44"/>
        <v>0.19933795471209428</v>
      </c>
      <c r="O339" s="136">
        <f t="shared" si="45"/>
        <v>29046823</v>
      </c>
      <c r="P339" s="157">
        <f t="shared" si="46"/>
        <v>0.16900369651219616</v>
      </c>
    </row>
    <row r="340" spans="3:16">
      <c r="E340" s="350" t="s">
        <v>47</v>
      </c>
      <c r="F340" s="124">
        <v>92041953</v>
      </c>
      <c r="G340" s="124">
        <v>60625</v>
      </c>
      <c r="H340" s="124">
        <v>1210221</v>
      </c>
      <c r="I340" s="124">
        <v>2147944</v>
      </c>
      <c r="J340" s="124"/>
      <c r="K340" s="124">
        <f t="shared" si="42"/>
        <v>95460743</v>
      </c>
      <c r="L340" s="124">
        <v>114957477</v>
      </c>
      <c r="M340" s="124">
        <f t="shared" si="43"/>
        <v>22915524</v>
      </c>
      <c r="N340" s="270">
        <f t="shared" si="44"/>
        <v>0.24896825038034559</v>
      </c>
      <c r="O340" s="124">
        <f t="shared" si="45"/>
        <v>19496734</v>
      </c>
      <c r="P340" s="270">
        <f t="shared" si="46"/>
        <v>0.20423823853958481</v>
      </c>
    </row>
    <row r="341" spans="3:16">
      <c r="E341" s="351" t="s">
        <v>215</v>
      </c>
      <c r="F341" s="124">
        <v>3173334</v>
      </c>
      <c r="G341" s="124"/>
      <c r="H341" s="124"/>
      <c r="I341" s="124">
        <v>8241</v>
      </c>
      <c r="J341" s="124"/>
      <c r="K341" s="124">
        <f t="shared" si="42"/>
        <v>3181575</v>
      </c>
      <c r="L341" s="124">
        <v>3173334</v>
      </c>
      <c r="M341" s="124">
        <f t="shared" si="43"/>
        <v>0</v>
      </c>
      <c r="N341" s="270">
        <f t="shared" si="44"/>
        <v>0</v>
      </c>
      <c r="O341" s="124">
        <f t="shared" si="45"/>
        <v>-8241</v>
      </c>
      <c r="P341" s="270">
        <f t="shared" si="46"/>
        <v>-2.5902265387426041E-3</v>
      </c>
    </row>
    <row r="342" spans="3:16">
      <c r="E342" s="323" t="s">
        <v>861</v>
      </c>
      <c r="F342" s="124"/>
      <c r="G342" s="124"/>
      <c r="H342" s="124">
        <v>100000</v>
      </c>
      <c r="I342" s="124">
        <v>0</v>
      </c>
      <c r="J342" s="124"/>
      <c r="K342" s="124">
        <f t="shared" si="42"/>
        <v>100000</v>
      </c>
      <c r="L342" s="124">
        <v>100000</v>
      </c>
      <c r="M342" s="124">
        <f t="shared" si="43"/>
        <v>100000</v>
      </c>
      <c r="N342" s="270"/>
      <c r="O342" s="124">
        <f t="shared" si="45"/>
        <v>0</v>
      </c>
      <c r="P342" s="270">
        <f t="shared" si="46"/>
        <v>0</v>
      </c>
    </row>
    <row r="343" spans="3:16">
      <c r="E343" s="351"/>
      <c r="F343" s="124"/>
      <c r="G343" s="124"/>
      <c r="H343" s="124"/>
      <c r="I343" s="124"/>
      <c r="J343" s="124"/>
      <c r="K343" s="124">
        <f t="shared" si="42"/>
        <v>0</v>
      </c>
      <c r="L343" s="124">
        <v>0</v>
      </c>
      <c r="M343" s="124">
        <f t="shared" si="43"/>
        <v>0</v>
      </c>
      <c r="N343" s="270"/>
      <c r="O343" s="124">
        <f t="shared" si="45"/>
        <v>0</v>
      </c>
      <c r="P343" s="270"/>
    </row>
    <row r="344" spans="3:16">
      <c r="E344" s="307" t="s">
        <v>507</v>
      </c>
      <c r="F344" s="125">
        <v>114922218</v>
      </c>
      <c r="G344" s="125"/>
      <c r="H344" s="125">
        <v>762750</v>
      </c>
      <c r="I344" s="125">
        <v>2935310</v>
      </c>
      <c r="J344" s="135"/>
      <c r="K344" s="125">
        <f t="shared" si="42"/>
        <v>118620278</v>
      </c>
      <c r="L344" s="125">
        <v>141231565</v>
      </c>
      <c r="M344" s="125">
        <f t="shared" si="43"/>
        <v>26309347</v>
      </c>
      <c r="N344" s="284">
        <f t="shared" si="44"/>
        <v>0.22893177192246672</v>
      </c>
      <c r="O344" s="125">
        <f t="shared" si="45"/>
        <v>22611287</v>
      </c>
      <c r="P344" s="284">
        <f t="shared" si="46"/>
        <v>0.19061906936350292</v>
      </c>
    </row>
    <row r="345" spans="3:16">
      <c r="E345" s="345"/>
      <c r="F345" s="346"/>
      <c r="G345" s="135"/>
      <c r="H345" s="135"/>
      <c r="I345" s="136"/>
      <c r="J345" s="135"/>
      <c r="K345" s="346">
        <f t="shared" si="42"/>
        <v>0</v>
      </c>
      <c r="L345" s="346">
        <v>0</v>
      </c>
      <c r="M345" s="346">
        <f t="shared" si="43"/>
        <v>0</v>
      </c>
      <c r="N345" s="347"/>
      <c r="O345" s="346">
        <f t="shared" si="45"/>
        <v>0</v>
      </c>
      <c r="P345" s="347"/>
    </row>
    <row r="346" spans="3:16">
      <c r="E346" s="339" t="s">
        <v>216</v>
      </c>
      <c r="F346" s="123">
        <v>487882</v>
      </c>
      <c r="G346" s="123">
        <f t="shared" ref="G346:J347" si="48">G350</f>
        <v>3720</v>
      </c>
      <c r="H346" s="123">
        <f t="shared" si="48"/>
        <v>13130</v>
      </c>
      <c r="I346" s="123">
        <f>I350</f>
        <v>237156</v>
      </c>
      <c r="J346" s="123">
        <f t="shared" si="48"/>
        <v>0</v>
      </c>
      <c r="K346" s="123">
        <f t="shared" si="42"/>
        <v>741888</v>
      </c>
      <c r="L346" s="123">
        <f>L350</f>
        <v>648545</v>
      </c>
      <c r="M346" s="123">
        <f t="shared" si="43"/>
        <v>160663</v>
      </c>
      <c r="N346" s="160">
        <f t="shared" si="44"/>
        <v>0.32930708654961649</v>
      </c>
      <c r="O346" s="123">
        <f t="shared" si="45"/>
        <v>-93343</v>
      </c>
      <c r="P346" s="160">
        <f t="shared" si="46"/>
        <v>-0.1258181827984817</v>
      </c>
    </row>
    <row r="347" spans="3:16">
      <c r="E347" s="132" t="s">
        <v>47</v>
      </c>
      <c r="F347" s="124">
        <v>234995</v>
      </c>
      <c r="G347" s="124">
        <f t="shared" si="48"/>
        <v>2780</v>
      </c>
      <c r="H347" s="124">
        <f t="shared" si="48"/>
        <v>6640</v>
      </c>
      <c r="I347" s="124">
        <f>I351</f>
        <v>40000</v>
      </c>
      <c r="J347" s="124">
        <f t="shared" si="48"/>
        <v>0</v>
      </c>
      <c r="K347" s="124">
        <f t="shared" si="42"/>
        <v>284415</v>
      </c>
      <c r="L347" s="124">
        <f>L351</f>
        <v>304285</v>
      </c>
      <c r="M347" s="138">
        <f t="shared" si="43"/>
        <v>69290</v>
      </c>
      <c r="N347" s="91">
        <f t="shared" si="44"/>
        <v>0.29485733739015724</v>
      </c>
      <c r="O347" s="138">
        <f t="shared" si="45"/>
        <v>19870</v>
      </c>
      <c r="P347" s="91">
        <f t="shared" si="46"/>
        <v>6.9862700631120017E-2</v>
      </c>
    </row>
    <row r="348" spans="3:16">
      <c r="E348" s="352"/>
      <c r="F348" s="353"/>
      <c r="G348" s="135"/>
      <c r="H348" s="135"/>
      <c r="I348" s="353"/>
      <c r="J348" s="135"/>
      <c r="K348" s="353">
        <f t="shared" si="42"/>
        <v>0</v>
      </c>
      <c r="L348" s="123">
        <v>0</v>
      </c>
      <c r="M348" s="123">
        <f t="shared" si="43"/>
        <v>0</v>
      </c>
      <c r="N348" s="160"/>
      <c r="O348" s="123">
        <f t="shared" si="45"/>
        <v>0</v>
      </c>
      <c r="P348" s="160"/>
    </row>
    <row r="349" spans="3:16">
      <c r="E349" s="348" t="s">
        <v>859</v>
      </c>
      <c r="F349" s="353"/>
      <c r="G349" s="135"/>
      <c r="H349" s="135"/>
      <c r="I349" s="353"/>
      <c r="J349" s="135"/>
      <c r="K349" s="353">
        <f t="shared" si="42"/>
        <v>0</v>
      </c>
      <c r="L349" s="123">
        <v>0</v>
      </c>
      <c r="M349" s="123">
        <f t="shared" si="43"/>
        <v>0</v>
      </c>
      <c r="N349" s="160"/>
      <c r="O349" s="123">
        <f t="shared" si="45"/>
        <v>0</v>
      </c>
      <c r="P349" s="160"/>
    </row>
    <row r="350" spans="3:16">
      <c r="C350" s="537" t="s">
        <v>957</v>
      </c>
      <c r="D350" s="537" t="s">
        <v>1014</v>
      </c>
      <c r="E350" s="349" t="s">
        <v>863</v>
      </c>
      <c r="F350" s="136">
        <v>487882</v>
      </c>
      <c r="G350" s="136">
        <v>3720</v>
      </c>
      <c r="H350" s="136">
        <v>13130</v>
      </c>
      <c r="I350" s="136">
        <v>237156</v>
      </c>
      <c r="J350" s="136"/>
      <c r="K350" s="136">
        <f t="shared" si="42"/>
        <v>741888</v>
      </c>
      <c r="L350" s="123">
        <v>648545</v>
      </c>
      <c r="M350" s="123">
        <f t="shared" si="43"/>
        <v>160663</v>
      </c>
      <c r="N350" s="160">
        <f t="shared" si="44"/>
        <v>0.32930708654961649</v>
      </c>
      <c r="O350" s="123">
        <f t="shared" si="45"/>
        <v>-93343</v>
      </c>
      <c r="P350" s="160">
        <f t="shared" si="46"/>
        <v>-0.1258181827984817</v>
      </c>
    </row>
    <row r="351" spans="3:16">
      <c r="E351" s="350" t="s">
        <v>47</v>
      </c>
      <c r="F351" s="124">
        <v>234995</v>
      </c>
      <c r="G351" s="124">
        <v>2780</v>
      </c>
      <c r="H351" s="124">
        <v>6640</v>
      </c>
      <c r="I351" s="124">
        <v>40000</v>
      </c>
      <c r="J351" s="124"/>
      <c r="K351" s="124">
        <f t="shared" si="42"/>
        <v>284415</v>
      </c>
      <c r="L351" s="138">
        <v>304285</v>
      </c>
      <c r="M351" s="138">
        <f t="shared" si="43"/>
        <v>69290</v>
      </c>
      <c r="N351" s="91">
        <f t="shared" si="44"/>
        <v>0.29485733739015724</v>
      </c>
      <c r="O351" s="138">
        <f t="shared" si="45"/>
        <v>19870</v>
      </c>
      <c r="P351" s="91">
        <f t="shared" si="46"/>
        <v>6.9862700631120017E-2</v>
      </c>
    </row>
    <row r="352" spans="3:16">
      <c r="E352" s="323"/>
      <c r="F352" s="353"/>
      <c r="G352" s="135"/>
      <c r="H352" s="135"/>
      <c r="I352" s="136"/>
      <c r="J352" s="135"/>
      <c r="K352" s="353">
        <f t="shared" si="42"/>
        <v>0</v>
      </c>
      <c r="L352" s="123">
        <v>0</v>
      </c>
      <c r="M352" s="123">
        <f t="shared" si="43"/>
        <v>0</v>
      </c>
      <c r="N352" s="160"/>
      <c r="O352" s="123">
        <f t="shared" si="45"/>
        <v>0</v>
      </c>
      <c r="P352" s="160"/>
    </row>
    <row r="353" spans="3:16">
      <c r="E353" s="307" t="s">
        <v>507</v>
      </c>
      <c r="F353" s="353"/>
      <c r="G353" s="135"/>
      <c r="H353" s="125">
        <v>8972</v>
      </c>
      <c r="I353" s="125">
        <v>235656</v>
      </c>
      <c r="J353" s="135"/>
      <c r="K353" s="353">
        <f t="shared" si="42"/>
        <v>244628</v>
      </c>
      <c r="L353" s="124">
        <v>5979</v>
      </c>
      <c r="M353" s="124">
        <f t="shared" si="43"/>
        <v>5979</v>
      </c>
      <c r="N353" s="270"/>
      <c r="O353" s="124">
        <f t="shared" si="45"/>
        <v>-238649</v>
      </c>
      <c r="P353" s="270">
        <f t="shared" si="46"/>
        <v>-0.97555880765897607</v>
      </c>
    </row>
    <row r="354" spans="3:16">
      <c r="E354" s="323"/>
      <c r="F354" s="353"/>
      <c r="G354" s="135"/>
      <c r="H354" s="135"/>
      <c r="I354" s="136"/>
      <c r="J354" s="135"/>
      <c r="K354" s="353">
        <f t="shared" si="42"/>
        <v>0</v>
      </c>
      <c r="L354" s="353">
        <v>0</v>
      </c>
      <c r="M354" s="353">
        <f t="shared" si="43"/>
        <v>0</v>
      </c>
      <c r="N354" s="287"/>
      <c r="O354" s="353">
        <f t="shared" si="45"/>
        <v>0</v>
      </c>
      <c r="P354" s="287"/>
    </row>
    <row r="355" spans="3:16">
      <c r="E355" s="339" t="s">
        <v>217</v>
      </c>
      <c r="F355" s="123">
        <v>11669316</v>
      </c>
      <c r="G355" s="123">
        <f t="shared" ref="G355:J356" si="49">G362</f>
        <v>219545</v>
      </c>
      <c r="H355" s="123">
        <f t="shared" si="49"/>
        <v>-30812</v>
      </c>
      <c r="I355" s="123">
        <f>I362</f>
        <v>304133</v>
      </c>
      <c r="J355" s="123">
        <f t="shared" si="49"/>
        <v>0</v>
      </c>
      <c r="K355" s="123">
        <f t="shared" si="42"/>
        <v>12162182</v>
      </c>
      <c r="L355" s="123">
        <f>L362</f>
        <v>13762324</v>
      </c>
      <c r="M355" s="123">
        <f t="shared" si="43"/>
        <v>2093008</v>
      </c>
      <c r="N355" s="160">
        <f t="shared" si="44"/>
        <v>0.17935995563064708</v>
      </c>
      <c r="O355" s="123">
        <f t="shared" si="45"/>
        <v>1600142</v>
      </c>
      <c r="P355" s="160">
        <f t="shared" si="46"/>
        <v>0.13156701651068861</v>
      </c>
    </row>
    <row r="356" spans="3:16">
      <c r="E356" s="132" t="s">
        <v>47</v>
      </c>
      <c r="F356" s="124">
        <v>7383265</v>
      </c>
      <c r="G356" s="124">
        <f t="shared" si="49"/>
        <v>164080</v>
      </c>
      <c r="H356" s="124">
        <f t="shared" si="49"/>
        <v>-69965</v>
      </c>
      <c r="I356" s="124">
        <f t="shared" si="49"/>
        <v>50642</v>
      </c>
      <c r="J356" s="124">
        <f t="shared" si="49"/>
        <v>0</v>
      </c>
      <c r="K356" s="124">
        <f t="shared" si="42"/>
        <v>7528022</v>
      </c>
      <c r="L356" s="124">
        <f t="shared" ref="L356" si="50">L363</f>
        <v>8653098</v>
      </c>
      <c r="M356" s="124">
        <f t="shared" si="43"/>
        <v>1269833</v>
      </c>
      <c r="N356" s="270">
        <f t="shared" si="44"/>
        <v>0.1719880025977667</v>
      </c>
      <c r="O356" s="124">
        <f t="shared" si="45"/>
        <v>1125076</v>
      </c>
      <c r="P356" s="270">
        <f t="shared" si="46"/>
        <v>0.1494517417722743</v>
      </c>
    </row>
    <row r="357" spans="3:16">
      <c r="E357" s="323" t="s">
        <v>1079</v>
      </c>
      <c r="F357" s="124"/>
      <c r="G357" s="124"/>
      <c r="H357" s="124"/>
      <c r="I357" s="124">
        <f>I364</f>
        <v>0</v>
      </c>
      <c r="J357" s="124"/>
      <c r="K357" s="124">
        <f t="shared" si="42"/>
        <v>0</v>
      </c>
      <c r="L357" s="124">
        <v>300000</v>
      </c>
      <c r="M357" s="124">
        <f t="shared" si="43"/>
        <v>300000</v>
      </c>
      <c r="N357" s="270"/>
      <c r="O357" s="124">
        <f t="shared" si="45"/>
        <v>300000</v>
      </c>
      <c r="P357" s="270"/>
    </row>
    <row r="358" spans="3:16">
      <c r="E358" s="323" t="s">
        <v>364</v>
      </c>
      <c r="F358" s="124">
        <v>120974</v>
      </c>
      <c r="G358" s="124">
        <f t="shared" ref="G358:J359" si="51">G365</f>
        <v>1450</v>
      </c>
      <c r="H358" s="124">
        <f t="shared" si="51"/>
        <v>0</v>
      </c>
      <c r="I358" s="124">
        <f>I365</f>
        <v>0</v>
      </c>
      <c r="J358" s="124">
        <f t="shared" si="51"/>
        <v>0</v>
      </c>
      <c r="K358" s="124">
        <f t="shared" si="42"/>
        <v>122424</v>
      </c>
      <c r="L358" s="124">
        <v>140293</v>
      </c>
      <c r="M358" s="124">
        <f t="shared" si="43"/>
        <v>19319</v>
      </c>
      <c r="N358" s="270">
        <f t="shared" si="44"/>
        <v>0.15969547175426124</v>
      </c>
      <c r="O358" s="124">
        <f t="shared" si="45"/>
        <v>17869</v>
      </c>
      <c r="P358" s="270">
        <f t="shared" si="46"/>
        <v>0.14595994249493563</v>
      </c>
    </row>
    <row r="359" spans="3:16">
      <c r="E359" s="350" t="s">
        <v>47</v>
      </c>
      <c r="F359" s="124">
        <v>72500</v>
      </c>
      <c r="G359" s="124">
        <f t="shared" si="51"/>
        <v>1080</v>
      </c>
      <c r="H359" s="124">
        <f t="shared" si="51"/>
        <v>3140</v>
      </c>
      <c r="I359" s="124">
        <f>I366</f>
        <v>0</v>
      </c>
      <c r="J359" s="124">
        <f t="shared" si="51"/>
        <v>0</v>
      </c>
      <c r="K359" s="124">
        <f t="shared" si="42"/>
        <v>76720</v>
      </c>
      <c r="L359" s="124">
        <v>86995</v>
      </c>
      <c r="M359" s="124">
        <f t="shared" si="43"/>
        <v>14495</v>
      </c>
      <c r="N359" s="270">
        <f t="shared" si="44"/>
        <v>0.19993103448275862</v>
      </c>
      <c r="O359" s="124">
        <f t="shared" si="45"/>
        <v>10275</v>
      </c>
      <c r="P359" s="270">
        <f t="shared" si="46"/>
        <v>0.13392857142857142</v>
      </c>
    </row>
    <row r="360" spans="3:16">
      <c r="E360" s="350"/>
      <c r="F360" s="124"/>
      <c r="G360" s="135"/>
      <c r="H360" s="135"/>
      <c r="I360" s="124"/>
      <c r="J360" s="135"/>
      <c r="K360" s="124">
        <f t="shared" si="42"/>
        <v>0</v>
      </c>
      <c r="L360" s="124">
        <v>0</v>
      </c>
      <c r="M360" s="124">
        <f t="shared" si="43"/>
        <v>0</v>
      </c>
      <c r="N360" s="270"/>
      <c r="O360" s="124">
        <f t="shared" si="45"/>
        <v>0</v>
      </c>
      <c r="P360" s="270"/>
    </row>
    <row r="361" spans="3:16">
      <c r="E361" s="348" t="s">
        <v>859</v>
      </c>
      <c r="F361" s="124"/>
      <c r="G361" s="135"/>
      <c r="H361" s="135"/>
      <c r="I361" s="124"/>
      <c r="J361" s="135"/>
      <c r="K361" s="124">
        <f t="shared" si="42"/>
        <v>0</v>
      </c>
      <c r="L361" s="124">
        <v>0</v>
      </c>
      <c r="M361" s="124">
        <f t="shared" si="43"/>
        <v>0</v>
      </c>
      <c r="N361" s="270"/>
      <c r="O361" s="124">
        <f t="shared" si="45"/>
        <v>0</v>
      </c>
      <c r="P361" s="270"/>
    </row>
    <row r="362" spans="3:16">
      <c r="C362" s="537" t="s">
        <v>957</v>
      </c>
      <c r="D362" s="537" t="s">
        <v>1014</v>
      </c>
      <c r="E362" s="349" t="s">
        <v>747</v>
      </c>
      <c r="F362" s="136">
        <v>11669316</v>
      </c>
      <c r="G362" s="136">
        <v>219545</v>
      </c>
      <c r="H362" s="136">
        <v>-30812</v>
      </c>
      <c r="I362" s="136">
        <v>304133</v>
      </c>
      <c r="J362" s="136"/>
      <c r="K362" s="136">
        <f t="shared" si="42"/>
        <v>12162182</v>
      </c>
      <c r="L362" s="136">
        <v>13762324</v>
      </c>
      <c r="M362" s="136">
        <f t="shared" si="43"/>
        <v>2093008</v>
      </c>
      <c r="N362" s="157">
        <f t="shared" si="44"/>
        <v>0.17935995563064708</v>
      </c>
      <c r="O362" s="136">
        <f t="shared" si="45"/>
        <v>1600142</v>
      </c>
      <c r="P362" s="157">
        <f t="shared" si="46"/>
        <v>0.13156701651068861</v>
      </c>
    </row>
    <row r="363" spans="3:16">
      <c r="E363" s="350" t="s">
        <v>47</v>
      </c>
      <c r="F363" s="124">
        <v>7383265</v>
      </c>
      <c r="G363" s="124">
        <v>164080</v>
      </c>
      <c r="H363" s="124">
        <v>-69965</v>
      </c>
      <c r="I363" s="124">
        <v>50642</v>
      </c>
      <c r="J363" s="124"/>
      <c r="K363" s="124">
        <f t="shared" si="42"/>
        <v>7528022</v>
      </c>
      <c r="L363" s="124">
        <v>8653098</v>
      </c>
      <c r="M363" s="124">
        <f t="shared" si="43"/>
        <v>1269833</v>
      </c>
      <c r="N363" s="270">
        <f t="shared" si="44"/>
        <v>0.1719880025977667</v>
      </c>
      <c r="O363" s="124">
        <f t="shared" si="45"/>
        <v>1125076</v>
      </c>
      <c r="P363" s="270">
        <f t="shared" si="46"/>
        <v>0.1494517417722743</v>
      </c>
    </row>
    <row r="364" spans="3:16">
      <c r="E364" s="323" t="s">
        <v>1079</v>
      </c>
      <c r="F364" s="124"/>
      <c r="G364" s="124"/>
      <c r="H364" s="124"/>
      <c r="I364" s="124">
        <v>0</v>
      </c>
      <c r="J364" s="124"/>
      <c r="K364" s="124">
        <f t="shared" si="42"/>
        <v>0</v>
      </c>
      <c r="L364" s="124">
        <v>300000</v>
      </c>
      <c r="M364" s="124">
        <f t="shared" si="43"/>
        <v>300000</v>
      </c>
      <c r="N364" s="270"/>
      <c r="O364" s="124">
        <f t="shared" si="45"/>
        <v>300000</v>
      </c>
      <c r="P364" s="270"/>
    </row>
    <row r="365" spans="3:16">
      <c r="E365" s="323" t="s">
        <v>364</v>
      </c>
      <c r="F365" s="124">
        <v>120974</v>
      </c>
      <c r="G365" s="124">
        <v>1450</v>
      </c>
      <c r="H365" s="124">
        <v>0</v>
      </c>
      <c r="I365" s="124">
        <v>0</v>
      </c>
      <c r="J365" s="124"/>
      <c r="K365" s="124">
        <f t="shared" si="42"/>
        <v>122424</v>
      </c>
      <c r="L365" s="124">
        <v>140293</v>
      </c>
      <c r="M365" s="124">
        <f t="shared" si="43"/>
        <v>19319</v>
      </c>
      <c r="N365" s="270">
        <f t="shared" si="44"/>
        <v>0.15969547175426124</v>
      </c>
      <c r="O365" s="124">
        <f t="shared" si="45"/>
        <v>17869</v>
      </c>
      <c r="P365" s="270">
        <f t="shared" si="46"/>
        <v>0.14595994249493563</v>
      </c>
    </row>
    <row r="366" spans="3:16">
      <c r="E366" s="350" t="s">
        <v>47</v>
      </c>
      <c r="F366" s="124">
        <v>72500</v>
      </c>
      <c r="G366" s="124">
        <v>1080</v>
      </c>
      <c r="H366" s="124">
        <v>3140</v>
      </c>
      <c r="I366" s="124">
        <v>0</v>
      </c>
      <c r="J366" s="124"/>
      <c r="K366" s="124">
        <f t="shared" si="42"/>
        <v>76720</v>
      </c>
      <c r="L366" s="124">
        <v>86995</v>
      </c>
      <c r="M366" s="124">
        <f t="shared" si="43"/>
        <v>14495</v>
      </c>
      <c r="N366" s="270">
        <f t="shared" si="44"/>
        <v>0.19993103448275862</v>
      </c>
      <c r="O366" s="124">
        <f t="shared" si="45"/>
        <v>10275</v>
      </c>
      <c r="P366" s="270">
        <f t="shared" si="46"/>
        <v>0.13392857142857142</v>
      </c>
    </row>
    <row r="367" spans="3:16">
      <c r="E367" s="350"/>
      <c r="F367" s="124"/>
      <c r="G367" s="135"/>
      <c r="H367" s="135"/>
      <c r="I367" s="136"/>
      <c r="J367" s="135"/>
      <c r="K367" s="124">
        <f t="shared" si="42"/>
        <v>0</v>
      </c>
      <c r="L367" s="124">
        <v>0</v>
      </c>
      <c r="M367" s="124">
        <f t="shared" si="43"/>
        <v>0</v>
      </c>
      <c r="N367" s="270"/>
      <c r="O367" s="124">
        <f t="shared" si="45"/>
        <v>0</v>
      </c>
      <c r="P367" s="270"/>
    </row>
    <row r="368" spans="3:16">
      <c r="E368" s="307" t="s">
        <v>507</v>
      </c>
      <c r="F368" s="124"/>
      <c r="G368" s="135"/>
      <c r="H368" s="135"/>
      <c r="I368" s="124">
        <v>223644</v>
      </c>
      <c r="J368" s="135"/>
      <c r="K368" s="124">
        <f t="shared" si="42"/>
        <v>223644</v>
      </c>
      <c r="L368" s="124">
        <v>200000</v>
      </c>
      <c r="M368" s="124">
        <f t="shared" si="43"/>
        <v>200000</v>
      </c>
      <c r="N368" s="270"/>
      <c r="O368" s="124">
        <f t="shared" si="45"/>
        <v>-23644</v>
      </c>
      <c r="P368" s="270">
        <f t="shared" si="46"/>
        <v>-0.10572159324640948</v>
      </c>
    </row>
    <row r="369" spans="1:16">
      <c r="E369" s="350"/>
      <c r="F369" s="124"/>
      <c r="G369" s="135"/>
      <c r="H369" s="135"/>
      <c r="I369" s="136"/>
      <c r="J369" s="135"/>
      <c r="K369" s="124">
        <f t="shared" si="42"/>
        <v>0</v>
      </c>
      <c r="L369" s="124">
        <v>0</v>
      </c>
      <c r="M369" s="124">
        <f t="shared" si="43"/>
        <v>0</v>
      </c>
      <c r="N369" s="270"/>
      <c r="O369" s="124">
        <f t="shared" si="45"/>
        <v>0</v>
      </c>
      <c r="P369" s="270"/>
    </row>
    <row r="370" spans="1:16">
      <c r="E370" s="339" t="s">
        <v>218</v>
      </c>
      <c r="F370" s="123">
        <f>F374+F378</f>
        <v>1370761</v>
      </c>
      <c r="G370" s="123">
        <f>G374+G378</f>
        <v>4560</v>
      </c>
      <c r="H370" s="123">
        <f t="shared" ref="H370:J371" si="52">H374+H378</f>
        <v>-45600</v>
      </c>
      <c r="I370" s="123">
        <f>I374+I378</f>
        <v>4000</v>
      </c>
      <c r="J370" s="123">
        <f t="shared" si="52"/>
        <v>0</v>
      </c>
      <c r="K370" s="123">
        <f t="shared" si="42"/>
        <v>1333721</v>
      </c>
      <c r="L370" s="123">
        <f>L374+L378</f>
        <v>1522077</v>
      </c>
      <c r="M370" s="123">
        <f t="shared" si="43"/>
        <v>151316</v>
      </c>
      <c r="N370" s="160">
        <f t="shared" si="44"/>
        <v>0.11038831714646098</v>
      </c>
      <c r="O370" s="123">
        <f t="shared" si="45"/>
        <v>188356</v>
      </c>
      <c r="P370" s="160">
        <f t="shared" si="46"/>
        <v>0.14122593855836416</v>
      </c>
    </row>
    <row r="371" spans="1:16">
      <c r="E371" s="132" t="s">
        <v>47</v>
      </c>
      <c r="F371" s="124">
        <f>F375+F379</f>
        <v>881652</v>
      </c>
      <c r="G371" s="124">
        <f>G375+G379</f>
        <v>3405</v>
      </c>
      <c r="H371" s="124">
        <f t="shared" si="52"/>
        <v>0</v>
      </c>
      <c r="I371" s="124">
        <f>I375+I379</f>
        <v>0</v>
      </c>
      <c r="J371" s="124">
        <f t="shared" si="52"/>
        <v>0</v>
      </c>
      <c r="K371" s="124">
        <f t="shared" si="42"/>
        <v>885057</v>
      </c>
      <c r="L371" s="124">
        <f>L375+L379</f>
        <v>1048395</v>
      </c>
      <c r="M371" s="124">
        <f t="shared" si="43"/>
        <v>166743</v>
      </c>
      <c r="N371" s="270">
        <f t="shared" si="44"/>
        <v>0.18912564140953572</v>
      </c>
      <c r="O371" s="124">
        <f t="shared" si="45"/>
        <v>163338</v>
      </c>
      <c r="P371" s="270">
        <f t="shared" si="46"/>
        <v>0.18455082554004995</v>
      </c>
    </row>
    <row r="372" spans="1:16">
      <c r="E372" s="132"/>
      <c r="F372" s="124"/>
      <c r="G372" s="135"/>
      <c r="H372" s="135"/>
      <c r="I372" s="136"/>
      <c r="J372" s="135"/>
      <c r="K372" s="124">
        <f t="shared" si="42"/>
        <v>0</v>
      </c>
      <c r="L372" s="124">
        <v>0</v>
      </c>
      <c r="M372" s="124">
        <f t="shared" si="43"/>
        <v>0</v>
      </c>
      <c r="N372" s="270"/>
      <c r="O372" s="124">
        <f t="shared" si="45"/>
        <v>0</v>
      </c>
      <c r="P372" s="270"/>
    </row>
    <row r="373" spans="1:16">
      <c r="E373" s="315" t="s">
        <v>101</v>
      </c>
      <c r="F373" s="123"/>
      <c r="G373" s="135"/>
      <c r="H373" s="135"/>
      <c r="I373" s="136"/>
      <c r="J373" s="135"/>
      <c r="K373" s="123">
        <f t="shared" si="42"/>
        <v>0</v>
      </c>
      <c r="L373" s="123">
        <v>0</v>
      </c>
      <c r="M373" s="123">
        <f t="shared" si="43"/>
        <v>0</v>
      </c>
      <c r="N373" s="160"/>
      <c r="O373" s="123">
        <f t="shared" si="45"/>
        <v>0</v>
      </c>
      <c r="P373" s="160"/>
    </row>
    <row r="374" spans="1:16">
      <c r="C374" s="537" t="s">
        <v>957</v>
      </c>
      <c r="D374" s="537"/>
      <c r="E374" s="37" t="s">
        <v>219</v>
      </c>
      <c r="F374" s="47">
        <v>349830</v>
      </c>
      <c r="G374" s="47">
        <v>3000</v>
      </c>
      <c r="H374" s="47">
        <f>4400-50000</f>
        <v>-45600</v>
      </c>
      <c r="I374" s="47">
        <v>2500</v>
      </c>
      <c r="J374" s="47"/>
      <c r="K374" s="47">
        <f t="shared" si="42"/>
        <v>309730</v>
      </c>
      <c r="L374" s="47">
        <v>280382</v>
      </c>
      <c r="M374" s="47">
        <f t="shared" si="43"/>
        <v>-69448</v>
      </c>
      <c r="N374" s="96">
        <f t="shared" si="44"/>
        <v>-0.19851928079352829</v>
      </c>
      <c r="O374" s="47">
        <f t="shared" si="45"/>
        <v>-29348</v>
      </c>
      <c r="P374" s="96">
        <f t="shared" si="46"/>
        <v>-9.4753494979498268E-2</v>
      </c>
    </row>
    <row r="375" spans="1:16">
      <c r="E375" s="323" t="s">
        <v>47</v>
      </c>
      <c r="F375" s="124">
        <v>144871</v>
      </c>
      <c r="G375" s="124">
        <v>2240</v>
      </c>
      <c r="H375" s="124"/>
      <c r="I375" s="124"/>
      <c r="J375" s="124"/>
      <c r="K375" s="124">
        <f t="shared" si="42"/>
        <v>147111</v>
      </c>
      <c r="L375" s="124">
        <v>146727</v>
      </c>
      <c r="M375" s="124">
        <f t="shared" si="43"/>
        <v>1856</v>
      </c>
      <c r="N375" s="270">
        <f t="shared" si="44"/>
        <v>1.2811397726253011E-2</v>
      </c>
      <c r="O375" s="124">
        <f t="shared" si="45"/>
        <v>-384</v>
      </c>
      <c r="P375" s="270">
        <f t="shared" si="46"/>
        <v>-2.6102738748292106E-3</v>
      </c>
    </row>
    <row r="376" spans="1:16">
      <c r="E376" s="10"/>
      <c r="F376" s="136"/>
      <c r="G376" s="136"/>
      <c r="H376" s="136"/>
      <c r="I376" s="136"/>
      <c r="J376" s="136"/>
      <c r="K376" s="136">
        <f t="shared" si="42"/>
        <v>0</v>
      </c>
      <c r="L376" s="136">
        <v>0</v>
      </c>
      <c r="M376" s="136">
        <f t="shared" si="43"/>
        <v>0</v>
      </c>
      <c r="N376" s="157"/>
      <c r="O376" s="136">
        <f t="shared" si="45"/>
        <v>0</v>
      </c>
      <c r="P376" s="157"/>
    </row>
    <row r="377" spans="1:16">
      <c r="E377" s="315" t="s">
        <v>101</v>
      </c>
      <c r="F377" s="123"/>
      <c r="G377" s="123"/>
      <c r="H377" s="123"/>
      <c r="I377" s="123"/>
      <c r="J377" s="123"/>
      <c r="K377" s="123">
        <f t="shared" si="42"/>
        <v>0</v>
      </c>
      <c r="L377" s="123">
        <v>0</v>
      </c>
      <c r="M377" s="123">
        <f t="shared" si="43"/>
        <v>0</v>
      </c>
      <c r="N377" s="160"/>
      <c r="O377" s="123">
        <f t="shared" si="45"/>
        <v>0</v>
      </c>
      <c r="P377" s="160"/>
    </row>
    <row r="378" spans="1:16">
      <c r="C378" s="537" t="s">
        <v>957</v>
      </c>
      <c r="D378" s="537" t="s">
        <v>974</v>
      </c>
      <c r="E378" s="37" t="s">
        <v>220</v>
      </c>
      <c r="F378" s="47">
        <v>1020931</v>
      </c>
      <c r="G378" s="47">
        <v>1560</v>
      </c>
      <c r="H378" s="47"/>
      <c r="I378" s="47">
        <v>1500</v>
      </c>
      <c r="J378" s="47"/>
      <c r="K378" s="47">
        <f t="shared" si="42"/>
        <v>1023991</v>
      </c>
      <c r="L378" s="47">
        <v>1241695</v>
      </c>
      <c r="M378" s="47">
        <f t="shared" si="43"/>
        <v>220764</v>
      </c>
      <c r="N378" s="96">
        <f t="shared" si="44"/>
        <v>0.21623792401249448</v>
      </c>
      <c r="O378" s="47">
        <f t="shared" si="45"/>
        <v>217704</v>
      </c>
      <c r="P378" s="96">
        <f t="shared" si="46"/>
        <v>0.21260343108484353</v>
      </c>
    </row>
    <row r="379" spans="1:16">
      <c r="E379" s="323" t="s">
        <v>47</v>
      </c>
      <c r="F379" s="124">
        <v>736781</v>
      </c>
      <c r="G379" s="124">
        <v>1165</v>
      </c>
      <c r="H379" s="124"/>
      <c r="I379" s="124"/>
      <c r="J379" s="124"/>
      <c r="K379" s="124">
        <f t="shared" si="42"/>
        <v>737946</v>
      </c>
      <c r="L379" s="124">
        <v>901668</v>
      </c>
      <c r="M379" s="124">
        <f t="shared" si="43"/>
        <v>164887</v>
      </c>
      <c r="N379" s="270">
        <f t="shared" si="44"/>
        <v>0.22379377318361901</v>
      </c>
      <c r="O379" s="124">
        <f t="shared" si="45"/>
        <v>163722</v>
      </c>
      <c r="P379" s="270">
        <f t="shared" si="46"/>
        <v>0.22186176224276574</v>
      </c>
    </row>
    <row r="380" spans="1:16">
      <c r="E380" s="323"/>
      <c r="F380" s="124"/>
      <c r="G380" s="135"/>
      <c r="H380" s="135"/>
      <c r="I380" s="136"/>
      <c r="J380" s="135"/>
      <c r="K380" s="124">
        <f t="shared" si="42"/>
        <v>0</v>
      </c>
      <c r="L380" s="124">
        <v>0</v>
      </c>
      <c r="M380" s="124">
        <f t="shared" si="43"/>
        <v>0</v>
      </c>
      <c r="N380" s="270"/>
      <c r="O380" s="124">
        <f t="shared" si="45"/>
        <v>0</v>
      </c>
      <c r="P380" s="270"/>
    </row>
    <row r="381" spans="1:16">
      <c r="E381" s="307" t="s">
        <v>507</v>
      </c>
      <c r="F381" s="125">
        <v>240300</v>
      </c>
      <c r="G381" s="135"/>
      <c r="H381" s="135"/>
      <c r="I381" s="136"/>
      <c r="J381" s="135"/>
      <c r="K381" s="125">
        <f t="shared" si="42"/>
        <v>240300</v>
      </c>
      <c r="L381" s="125">
        <v>297675</v>
      </c>
      <c r="M381" s="125">
        <f t="shared" si="43"/>
        <v>57375</v>
      </c>
      <c r="N381" s="284">
        <f t="shared" si="44"/>
        <v>0.23876404494382023</v>
      </c>
      <c r="O381" s="125">
        <f t="shared" si="45"/>
        <v>57375</v>
      </c>
      <c r="P381" s="284">
        <f t="shared" si="46"/>
        <v>0.23876404494382023</v>
      </c>
    </row>
    <row r="382" spans="1:16">
      <c r="E382" s="367"/>
      <c r="F382" s="353"/>
      <c r="G382" s="135"/>
      <c r="H382" s="135"/>
      <c r="I382" s="136"/>
      <c r="J382" s="135"/>
      <c r="K382" s="353">
        <f t="shared" si="42"/>
        <v>0</v>
      </c>
      <c r="L382" s="353">
        <v>0</v>
      </c>
      <c r="M382" s="353">
        <f t="shared" si="43"/>
        <v>0</v>
      </c>
      <c r="N382" s="287"/>
      <c r="O382" s="353">
        <f t="shared" si="45"/>
        <v>0</v>
      </c>
      <c r="P382" s="287"/>
    </row>
    <row r="383" spans="1:16" ht="13.8">
      <c r="A383" s="77" t="s">
        <v>674</v>
      </c>
      <c r="B383" s="77" t="s">
        <v>48</v>
      </c>
      <c r="E383" s="344" t="s">
        <v>105</v>
      </c>
      <c r="F383" s="126">
        <f>F384</f>
        <v>58651</v>
      </c>
      <c r="G383" s="135"/>
      <c r="H383" s="135"/>
      <c r="I383" s="136"/>
      <c r="J383" s="135"/>
      <c r="K383" s="126">
        <f t="shared" si="42"/>
        <v>58651</v>
      </c>
      <c r="L383" s="126">
        <f>L384</f>
        <v>58650</v>
      </c>
      <c r="M383" s="126">
        <f t="shared" si="43"/>
        <v>-1</v>
      </c>
      <c r="N383" s="313">
        <f t="shared" si="44"/>
        <v>-1.7050007672503452E-5</v>
      </c>
      <c r="O383" s="126">
        <f t="shared" si="45"/>
        <v>-1</v>
      </c>
      <c r="P383" s="313">
        <f t="shared" si="46"/>
        <v>-1.7050007672503452E-5</v>
      </c>
    </row>
    <row r="384" spans="1:16">
      <c r="E384" s="339" t="s">
        <v>600</v>
      </c>
      <c r="F384" s="123">
        <f>F387</f>
        <v>58651</v>
      </c>
      <c r="G384" s="135"/>
      <c r="H384" s="135"/>
      <c r="I384" s="136"/>
      <c r="J384" s="135"/>
      <c r="K384" s="123">
        <f t="shared" si="42"/>
        <v>58651</v>
      </c>
      <c r="L384" s="123">
        <f>L387</f>
        <v>58650</v>
      </c>
      <c r="M384" s="123">
        <f t="shared" si="43"/>
        <v>-1</v>
      </c>
      <c r="N384" s="160">
        <f t="shared" si="44"/>
        <v>-1.7050007672503452E-5</v>
      </c>
      <c r="O384" s="123">
        <f t="shared" si="45"/>
        <v>-1</v>
      </c>
      <c r="P384" s="160">
        <f t="shared" si="46"/>
        <v>-1.7050007672503452E-5</v>
      </c>
    </row>
    <row r="385" spans="1:16">
      <c r="E385" s="354"/>
      <c r="F385" s="321"/>
      <c r="G385" s="135"/>
      <c r="H385" s="135"/>
      <c r="I385" s="136"/>
      <c r="J385" s="135"/>
      <c r="K385" s="321">
        <f t="shared" si="42"/>
        <v>0</v>
      </c>
      <c r="L385" s="124">
        <v>0</v>
      </c>
      <c r="M385" s="124">
        <f t="shared" si="43"/>
        <v>0</v>
      </c>
      <c r="N385" s="270"/>
      <c r="O385" s="124">
        <f t="shared" si="45"/>
        <v>0</v>
      </c>
      <c r="P385" s="270"/>
    </row>
    <row r="386" spans="1:16">
      <c r="E386" s="315" t="s">
        <v>101</v>
      </c>
      <c r="F386" s="123"/>
      <c r="G386" s="135"/>
      <c r="H386" s="135"/>
      <c r="I386" s="136"/>
      <c r="J386" s="135"/>
      <c r="K386" s="123">
        <f t="shared" si="42"/>
        <v>0</v>
      </c>
      <c r="L386" s="321">
        <v>0</v>
      </c>
      <c r="M386" s="321">
        <f t="shared" si="43"/>
        <v>0</v>
      </c>
      <c r="N386" s="322"/>
      <c r="O386" s="321">
        <f t="shared" si="45"/>
        <v>0</v>
      </c>
      <c r="P386" s="322"/>
    </row>
    <row r="387" spans="1:16" s="616" customFormat="1">
      <c r="A387" s="710"/>
      <c r="B387" s="710"/>
      <c r="C387" s="497" t="s">
        <v>957</v>
      </c>
      <c r="D387" s="497" t="s">
        <v>1022</v>
      </c>
      <c r="E387" s="37" t="s">
        <v>1075</v>
      </c>
      <c r="F387" s="47">
        <v>58651</v>
      </c>
      <c r="G387" s="604"/>
      <c r="H387" s="604"/>
      <c r="I387" s="508"/>
      <c r="J387" s="604"/>
      <c r="K387" s="47">
        <f t="shared" si="42"/>
        <v>58651</v>
      </c>
      <c r="L387" s="533">
        <v>58650</v>
      </c>
      <c r="M387" s="533">
        <f t="shared" si="43"/>
        <v>-1</v>
      </c>
      <c r="N387" s="650">
        <f t="shared" si="44"/>
        <v>-1.7050007672503452E-5</v>
      </c>
      <c r="O387" s="533">
        <f t="shared" si="45"/>
        <v>-1</v>
      </c>
      <c r="P387" s="650">
        <f t="shared" si="46"/>
        <v>-1.7050007672503452E-5</v>
      </c>
    </row>
    <row r="388" spans="1:16">
      <c r="E388" s="367"/>
      <c r="F388" s="353"/>
      <c r="G388" s="135"/>
      <c r="H388" s="135"/>
      <c r="I388" s="136"/>
      <c r="J388" s="135"/>
      <c r="K388" s="353">
        <f t="shared" si="42"/>
        <v>0</v>
      </c>
      <c r="L388" s="131">
        <v>0</v>
      </c>
      <c r="M388" s="131">
        <f t="shared" si="43"/>
        <v>0</v>
      </c>
      <c r="N388" s="157"/>
      <c r="O388" s="131">
        <f t="shared" si="45"/>
        <v>0</v>
      </c>
      <c r="P388" s="157"/>
    </row>
    <row r="389" spans="1:16">
      <c r="E389" s="261" t="s">
        <v>102</v>
      </c>
      <c r="F389" s="127">
        <f>F391+F398+F407+F433+F435+F445+F412+F425+F428+F439</f>
        <v>4178933</v>
      </c>
      <c r="G389" s="127">
        <f>G391+G398+G407+G433+G435+G445+G412+G425+G428+G439</f>
        <v>0</v>
      </c>
      <c r="H389" s="127">
        <f>H391+H398+H407+H433+H435+H445+H412+H425+H428+H439+H410+H450+H441</f>
        <v>390397</v>
      </c>
      <c r="I389" s="127">
        <f>I391+I398+I407+I412+I425+I428+I433+I435+I439+I445+I431</f>
        <v>92031</v>
      </c>
      <c r="J389" s="127">
        <f>J391+J398+J407+J433+J435+J445+J412+J425+J428+J439</f>
        <v>167498</v>
      </c>
      <c r="K389" s="127">
        <f t="shared" si="42"/>
        <v>4828859</v>
      </c>
      <c r="L389" s="127">
        <v>4662407</v>
      </c>
      <c r="M389" s="127">
        <f t="shared" si="43"/>
        <v>483474</v>
      </c>
      <c r="N389" s="160">
        <f t="shared" si="44"/>
        <v>0.11569316856719167</v>
      </c>
      <c r="O389" s="127">
        <f t="shared" si="45"/>
        <v>-166452</v>
      </c>
      <c r="P389" s="160">
        <f t="shared" si="46"/>
        <v>-3.4470254774471569E-2</v>
      </c>
    </row>
    <row r="390" spans="1:16">
      <c r="E390" s="261"/>
      <c r="F390" s="127"/>
      <c r="G390" s="135"/>
      <c r="H390" s="135"/>
      <c r="I390" s="136"/>
      <c r="J390" s="135"/>
      <c r="K390" s="127">
        <f t="shared" si="42"/>
        <v>0</v>
      </c>
      <c r="L390" s="127">
        <v>0</v>
      </c>
      <c r="M390" s="127">
        <f t="shared" si="43"/>
        <v>0</v>
      </c>
      <c r="N390" s="160"/>
      <c r="O390" s="127">
        <f t="shared" si="45"/>
        <v>0</v>
      </c>
      <c r="P390" s="160"/>
    </row>
    <row r="391" spans="1:16">
      <c r="E391" s="273" t="s">
        <v>209</v>
      </c>
      <c r="F391" s="131">
        <v>2594096</v>
      </c>
      <c r="G391" s="131">
        <v>0</v>
      </c>
      <c r="H391" s="131">
        <v>33524</v>
      </c>
      <c r="I391" s="131">
        <v>-1754</v>
      </c>
      <c r="J391" s="131">
        <v>167498</v>
      </c>
      <c r="K391" s="131">
        <f t="shared" si="42"/>
        <v>2793364</v>
      </c>
      <c r="L391" s="131">
        <v>2828663</v>
      </c>
      <c r="M391" s="131">
        <f t="shared" si="43"/>
        <v>234567</v>
      </c>
      <c r="N391" s="157">
        <f t="shared" si="44"/>
        <v>9.042340761482999E-2</v>
      </c>
      <c r="O391" s="131">
        <f t="shared" si="45"/>
        <v>35299</v>
      </c>
      <c r="P391" s="157">
        <f t="shared" si="46"/>
        <v>1.2636734775704133E-2</v>
      </c>
    </row>
    <row r="392" spans="1:16">
      <c r="E392" s="130" t="s">
        <v>47</v>
      </c>
      <c r="F392" s="124">
        <v>1582825</v>
      </c>
      <c r="G392" s="124">
        <v>0</v>
      </c>
      <c r="H392" s="124">
        <v>-79</v>
      </c>
      <c r="I392" s="124">
        <v>-1311</v>
      </c>
      <c r="J392" s="124">
        <v>125185</v>
      </c>
      <c r="K392" s="124">
        <f t="shared" ref="K392:K455" si="53">F392+G392+H392+J392+I392</f>
        <v>1706620</v>
      </c>
      <c r="L392" s="124">
        <v>1731035</v>
      </c>
      <c r="M392" s="124">
        <f t="shared" ref="M392:M455" si="54">L392-F392</f>
        <v>148210</v>
      </c>
      <c r="N392" s="270">
        <f t="shared" ref="N392:N448" si="55">M392/F392</f>
        <v>9.3636377995040515E-2</v>
      </c>
      <c r="O392" s="124">
        <f t="shared" ref="O392:O455" si="56">L392-K392</f>
        <v>24415</v>
      </c>
      <c r="P392" s="270">
        <f t="shared" ref="P392:P453" si="57">O392/K392</f>
        <v>1.430605524369807E-2</v>
      </c>
    </row>
    <row r="393" spans="1:16">
      <c r="A393" s="135" t="s">
        <v>671</v>
      </c>
      <c r="B393" s="135" t="s">
        <v>48</v>
      </c>
      <c r="C393" s="537"/>
      <c r="D393" s="537"/>
      <c r="E393" s="345" t="s">
        <v>1230</v>
      </c>
      <c r="F393" s="124">
        <v>2144186</v>
      </c>
      <c r="G393" s="135"/>
      <c r="H393" s="124">
        <v>43998</v>
      </c>
      <c r="I393" s="124">
        <v>12687</v>
      </c>
      <c r="J393" s="124">
        <v>135652</v>
      </c>
      <c r="K393" s="124">
        <f t="shared" si="53"/>
        <v>2336523</v>
      </c>
      <c r="L393" s="124">
        <v>2372653</v>
      </c>
      <c r="M393" s="124">
        <f t="shared" si="54"/>
        <v>228467</v>
      </c>
      <c r="N393" s="124">
        <f t="shared" si="55"/>
        <v>0.10655185697509451</v>
      </c>
      <c r="O393" s="124">
        <f t="shared" si="56"/>
        <v>36130</v>
      </c>
      <c r="P393" s="124">
        <f t="shared" si="57"/>
        <v>1.5463147591528096E-2</v>
      </c>
    </row>
    <row r="394" spans="1:16">
      <c r="E394" s="323" t="s">
        <v>47</v>
      </c>
      <c r="F394" s="124">
        <v>1250858</v>
      </c>
      <c r="G394" s="135"/>
      <c r="H394" s="124">
        <v>7749</v>
      </c>
      <c r="I394" s="124">
        <v>9482</v>
      </c>
      <c r="J394" s="124">
        <v>101384</v>
      </c>
      <c r="K394" s="124">
        <f t="shared" si="53"/>
        <v>1369473</v>
      </c>
      <c r="L394" s="124">
        <v>1372276</v>
      </c>
      <c r="M394" s="124">
        <f t="shared" si="54"/>
        <v>121418</v>
      </c>
      <c r="N394" s="124">
        <f t="shared" si="55"/>
        <v>9.7067772680831874E-2</v>
      </c>
      <c r="O394" s="124">
        <f t="shared" si="56"/>
        <v>2803</v>
      </c>
      <c r="P394" s="124">
        <f t="shared" si="57"/>
        <v>2.046772736665856E-3</v>
      </c>
    </row>
    <row r="395" spans="1:16">
      <c r="A395" s="135" t="s">
        <v>674</v>
      </c>
      <c r="B395" s="135" t="s">
        <v>48</v>
      </c>
      <c r="C395" s="537"/>
      <c r="D395" s="537"/>
      <c r="E395" s="345" t="s">
        <v>1231</v>
      </c>
      <c r="F395" s="124">
        <v>449910</v>
      </c>
      <c r="G395" s="135"/>
      <c r="H395" s="124">
        <v>-10474</v>
      </c>
      <c r="I395" s="124">
        <v>-14441</v>
      </c>
      <c r="J395" s="124">
        <v>31846</v>
      </c>
      <c r="K395" s="124">
        <f t="shared" si="53"/>
        <v>456841</v>
      </c>
      <c r="L395" s="124">
        <v>456010</v>
      </c>
      <c r="M395" s="124">
        <f t="shared" si="54"/>
        <v>6100</v>
      </c>
      <c r="N395" s="124">
        <f t="shared" si="55"/>
        <v>1.3558267208997355E-2</v>
      </c>
      <c r="O395" s="124">
        <f t="shared" si="56"/>
        <v>-831</v>
      </c>
      <c r="P395" s="124">
        <f t="shared" si="57"/>
        <v>-1.8190136174292587E-3</v>
      </c>
    </row>
    <row r="396" spans="1:16">
      <c r="E396" s="323" t="s">
        <v>47</v>
      </c>
      <c r="F396" s="124">
        <v>331967</v>
      </c>
      <c r="G396" s="135"/>
      <c r="H396" s="124">
        <v>-7828</v>
      </c>
      <c r="I396" s="124">
        <v>-10793</v>
      </c>
      <c r="J396" s="124">
        <v>23801</v>
      </c>
      <c r="K396" s="124">
        <f t="shared" si="53"/>
        <v>337147</v>
      </c>
      <c r="L396" s="124">
        <v>358759</v>
      </c>
      <c r="M396" s="124">
        <f t="shared" si="54"/>
        <v>26792</v>
      </c>
      <c r="N396" s="124">
        <f t="shared" si="55"/>
        <v>8.0706817243882678E-2</v>
      </c>
      <c r="O396" s="124">
        <f t="shared" si="56"/>
        <v>21612</v>
      </c>
      <c r="P396" s="124">
        <f t="shared" si="57"/>
        <v>6.4102602129041633E-2</v>
      </c>
    </row>
    <row r="397" spans="1:16">
      <c r="E397" s="355"/>
      <c r="F397" s="131"/>
      <c r="G397" s="135"/>
      <c r="H397" s="135"/>
      <c r="I397" s="136"/>
      <c r="J397" s="135"/>
      <c r="K397" s="131">
        <f t="shared" si="53"/>
        <v>0</v>
      </c>
      <c r="L397" s="131">
        <v>0</v>
      </c>
      <c r="M397" s="131">
        <f t="shared" si="54"/>
        <v>0</v>
      </c>
      <c r="N397" s="157"/>
      <c r="O397" s="131">
        <f t="shared" si="56"/>
        <v>0</v>
      </c>
      <c r="P397" s="157"/>
    </row>
    <row r="398" spans="1:16">
      <c r="A398" s="135" t="s">
        <v>671</v>
      </c>
      <c r="B398" s="77" t="s">
        <v>48</v>
      </c>
      <c r="C398" s="537" t="s">
        <v>957</v>
      </c>
      <c r="D398" s="537"/>
      <c r="E398" s="273" t="s">
        <v>221</v>
      </c>
      <c r="F398" s="131">
        <v>391372</v>
      </c>
      <c r="G398" s="135"/>
      <c r="H398" s="136">
        <f>H402+H404</f>
        <v>31000</v>
      </c>
      <c r="I398" s="131">
        <v>-12415</v>
      </c>
      <c r="J398" s="135"/>
      <c r="K398" s="131">
        <f t="shared" si="53"/>
        <v>409957</v>
      </c>
      <c r="L398" s="131">
        <v>401372</v>
      </c>
      <c r="M398" s="131">
        <f t="shared" si="54"/>
        <v>10000</v>
      </c>
      <c r="N398" s="157">
        <f t="shared" si="55"/>
        <v>2.5551138047688646E-2</v>
      </c>
      <c r="O398" s="131">
        <f t="shared" si="56"/>
        <v>-8585</v>
      </c>
      <c r="P398" s="157">
        <f t="shared" si="57"/>
        <v>-2.0941220664606287E-2</v>
      </c>
    </row>
    <row r="399" spans="1:16">
      <c r="A399" s="135"/>
      <c r="E399" s="130" t="s">
        <v>47</v>
      </c>
      <c r="F399" s="124">
        <v>19000</v>
      </c>
      <c r="G399" s="135"/>
      <c r="H399" s="124"/>
      <c r="I399" s="124">
        <v>-4905</v>
      </c>
      <c r="J399" s="135"/>
      <c r="K399" s="124">
        <f t="shared" si="53"/>
        <v>14095</v>
      </c>
      <c r="L399" s="124">
        <v>19000</v>
      </c>
      <c r="M399" s="124">
        <f t="shared" si="54"/>
        <v>0</v>
      </c>
      <c r="N399" s="270">
        <f t="shared" si="55"/>
        <v>0</v>
      </c>
      <c r="O399" s="124">
        <f t="shared" si="56"/>
        <v>4905</v>
      </c>
      <c r="P399" s="270">
        <f t="shared" si="57"/>
        <v>0.34799574317133736</v>
      </c>
    </row>
    <row r="400" spans="1:16">
      <c r="A400" s="135"/>
      <c r="E400" s="132" t="s">
        <v>222</v>
      </c>
      <c r="F400" s="124">
        <v>16000</v>
      </c>
      <c r="G400" s="135"/>
      <c r="H400" s="124"/>
      <c r="I400" s="124"/>
      <c r="J400" s="135"/>
      <c r="K400" s="124">
        <f t="shared" si="53"/>
        <v>16000</v>
      </c>
      <c r="L400" s="124">
        <v>16000</v>
      </c>
      <c r="M400" s="124">
        <f t="shared" si="54"/>
        <v>0</v>
      </c>
      <c r="N400" s="270">
        <f t="shared" si="55"/>
        <v>0</v>
      </c>
      <c r="O400" s="124">
        <f t="shared" si="56"/>
        <v>0</v>
      </c>
      <c r="P400" s="270">
        <f t="shared" si="57"/>
        <v>0</v>
      </c>
    </row>
    <row r="401" spans="1:16">
      <c r="A401" s="135"/>
      <c r="E401" s="132" t="s">
        <v>748</v>
      </c>
      <c r="F401" s="124">
        <v>77500</v>
      </c>
      <c r="G401" s="135"/>
      <c r="H401" s="124"/>
      <c r="I401" s="124"/>
      <c r="J401" s="135"/>
      <c r="K401" s="124">
        <f t="shared" si="53"/>
        <v>77500</v>
      </c>
      <c r="L401" s="124">
        <v>77500</v>
      </c>
      <c r="M401" s="124">
        <f t="shared" si="54"/>
        <v>0</v>
      </c>
      <c r="N401" s="270">
        <f t="shared" si="55"/>
        <v>0</v>
      </c>
      <c r="O401" s="124">
        <f t="shared" si="56"/>
        <v>0</v>
      </c>
      <c r="P401" s="270">
        <f t="shared" si="57"/>
        <v>0</v>
      </c>
    </row>
    <row r="402" spans="1:16">
      <c r="A402" s="135"/>
      <c r="E402" s="132" t="s">
        <v>864</v>
      </c>
      <c r="F402" s="124">
        <v>53330</v>
      </c>
      <c r="G402" s="135"/>
      <c r="H402" s="124">
        <v>16500</v>
      </c>
      <c r="I402" s="124"/>
      <c r="J402" s="135"/>
      <c r="K402" s="124">
        <f t="shared" si="53"/>
        <v>69830</v>
      </c>
      <c r="L402" s="124">
        <v>53330</v>
      </c>
      <c r="M402" s="124">
        <f t="shared" si="54"/>
        <v>0</v>
      </c>
      <c r="N402" s="270">
        <f t="shared" si="55"/>
        <v>0</v>
      </c>
      <c r="O402" s="124">
        <f t="shared" si="56"/>
        <v>-16500</v>
      </c>
      <c r="P402" s="270">
        <f t="shared" si="57"/>
        <v>-0.23628812831161392</v>
      </c>
    </row>
    <row r="403" spans="1:16">
      <c r="A403" s="135"/>
      <c r="E403" s="132" t="s">
        <v>425</v>
      </c>
      <c r="F403" s="124">
        <v>50000</v>
      </c>
      <c r="G403" s="135"/>
      <c r="H403" s="124"/>
      <c r="I403" s="124"/>
      <c r="J403" s="135"/>
      <c r="K403" s="124">
        <f t="shared" si="53"/>
        <v>50000</v>
      </c>
      <c r="L403" s="124">
        <v>50000</v>
      </c>
      <c r="M403" s="124">
        <f t="shared" si="54"/>
        <v>0</v>
      </c>
      <c r="N403" s="270">
        <f t="shared" si="55"/>
        <v>0</v>
      </c>
      <c r="O403" s="124">
        <f t="shared" si="56"/>
        <v>0</v>
      </c>
      <c r="P403" s="270">
        <f t="shared" si="57"/>
        <v>0</v>
      </c>
    </row>
    <row r="404" spans="1:16">
      <c r="A404" s="135"/>
      <c r="E404" s="132" t="s">
        <v>865</v>
      </c>
      <c r="F404" s="124"/>
      <c r="G404" s="135"/>
      <c r="H404" s="124">
        <v>14500</v>
      </c>
      <c r="I404" s="124"/>
      <c r="J404" s="135"/>
      <c r="K404" s="124">
        <f t="shared" si="53"/>
        <v>14500</v>
      </c>
      <c r="L404" s="124">
        <v>30000</v>
      </c>
      <c r="M404" s="124">
        <f t="shared" si="54"/>
        <v>30000</v>
      </c>
      <c r="N404" s="270"/>
      <c r="O404" s="124">
        <f t="shared" si="56"/>
        <v>15500</v>
      </c>
      <c r="P404" s="270">
        <f t="shared" si="57"/>
        <v>1.0689655172413792</v>
      </c>
    </row>
    <row r="405" spans="1:16">
      <c r="A405" s="135"/>
      <c r="E405" s="132" t="s">
        <v>1060</v>
      </c>
      <c r="F405" s="124"/>
      <c r="G405" s="135"/>
      <c r="H405" s="124"/>
      <c r="I405" s="124"/>
      <c r="J405" s="135"/>
      <c r="K405" s="124">
        <f t="shared" si="53"/>
        <v>0</v>
      </c>
      <c r="L405" s="124">
        <v>0</v>
      </c>
      <c r="M405" s="124">
        <f t="shared" si="54"/>
        <v>0</v>
      </c>
      <c r="N405" s="270"/>
      <c r="O405" s="124">
        <f t="shared" si="56"/>
        <v>0</v>
      </c>
      <c r="P405" s="270"/>
    </row>
    <row r="406" spans="1:16">
      <c r="A406" s="135"/>
      <c r="E406" s="323"/>
      <c r="F406" s="124"/>
      <c r="G406" s="135"/>
      <c r="H406" s="124"/>
      <c r="I406" s="124"/>
      <c r="J406" s="135"/>
      <c r="K406" s="124">
        <f t="shared" si="53"/>
        <v>0</v>
      </c>
      <c r="L406" s="124">
        <v>0</v>
      </c>
      <c r="M406" s="124">
        <f t="shared" si="54"/>
        <v>0</v>
      </c>
      <c r="N406" s="270"/>
      <c r="O406" s="124">
        <f t="shared" si="56"/>
        <v>0</v>
      </c>
      <c r="P406" s="270"/>
    </row>
    <row r="407" spans="1:16">
      <c r="A407" s="135" t="s">
        <v>671</v>
      </c>
      <c r="B407" s="77" t="s">
        <v>48</v>
      </c>
      <c r="C407" s="537" t="s">
        <v>957</v>
      </c>
      <c r="D407" s="537" t="s">
        <v>989</v>
      </c>
      <c r="E407" s="273" t="s">
        <v>223</v>
      </c>
      <c r="F407" s="131">
        <v>266000</v>
      </c>
      <c r="G407" s="135"/>
      <c r="H407" s="135"/>
      <c r="I407" s="10">
        <v>0</v>
      </c>
      <c r="J407" s="135"/>
      <c r="K407" s="10">
        <f t="shared" si="53"/>
        <v>266000</v>
      </c>
      <c r="L407" s="131">
        <v>239400</v>
      </c>
      <c r="M407" s="131">
        <f t="shared" si="54"/>
        <v>-26600</v>
      </c>
      <c r="N407" s="157">
        <f t="shared" si="55"/>
        <v>-0.1</v>
      </c>
      <c r="O407" s="131">
        <f t="shared" si="56"/>
        <v>-26600</v>
      </c>
      <c r="P407" s="157">
        <f t="shared" si="57"/>
        <v>-0.1</v>
      </c>
    </row>
    <row r="408" spans="1:16">
      <c r="A408" s="135"/>
      <c r="C408" s="537"/>
      <c r="D408" s="537"/>
      <c r="E408" s="130" t="s">
        <v>47</v>
      </c>
      <c r="F408" s="131"/>
      <c r="G408" s="135"/>
      <c r="H408" s="135"/>
      <c r="I408" s="124">
        <v>1271</v>
      </c>
      <c r="J408" s="135"/>
      <c r="K408" s="124">
        <f t="shared" si="53"/>
        <v>1271</v>
      </c>
      <c r="L408" s="131">
        <v>0</v>
      </c>
      <c r="M408" s="131">
        <f t="shared" si="54"/>
        <v>0</v>
      </c>
      <c r="N408" s="157"/>
      <c r="O408" s="131">
        <f t="shared" si="56"/>
        <v>-1271</v>
      </c>
      <c r="P408" s="157">
        <f t="shared" si="57"/>
        <v>-1</v>
      </c>
    </row>
    <row r="409" spans="1:16">
      <c r="E409" s="323"/>
      <c r="F409" s="124"/>
      <c r="G409" s="135"/>
      <c r="H409" s="135"/>
      <c r="I409" s="136"/>
      <c r="J409" s="135"/>
      <c r="K409" s="131">
        <f t="shared" si="53"/>
        <v>0</v>
      </c>
      <c r="L409" s="124">
        <v>0</v>
      </c>
      <c r="M409" s="124">
        <f t="shared" si="54"/>
        <v>0</v>
      </c>
      <c r="N409" s="270"/>
      <c r="O409" s="124">
        <f t="shared" si="56"/>
        <v>0</v>
      </c>
      <c r="P409" s="270"/>
    </row>
    <row r="410" spans="1:16">
      <c r="A410" s="135" t="s">
        <v>671</v>
      </c>
      <c r="B410" s="77" t="s">
        <v>48</v>
      </c>
      <c r="C410" s="537" t="s">
        <v>957</v>
      </c>
      <c r="D410" s="537"/>
      <c r="E410" s="273" t="s">
        <v>866</v>
      </c>
      <c r="F410" s="124"/>
      <c r="G410" s="135"/>
      <c r="H410" s="131">
        <v>30000</v>
      </c>
      <c r="I410" s="131"/>
      <c r="J410" s="135"/>
      <c r="K410" s="131">
        <f t="shared" si="53"/>
        <v>30000</v>
      </c>
      <c r="L410" s="124">
        <v>0</v>
      </c>
      <c r="M410" s="124">
        <f t="shared" si="54"/>
        <v>0</v>
      </c>
      <c r="N410" s="270"/>
      <c r="O410" s="124">
        <f t="shared" si="56"/>
        <v>-30000</v>
      </c>
      <c r="P410" s="270">
        <f t="shared" si="57"/>
        <v>-1</v>
      </c>
    </row>
    <row r="411" spans="1:16">
      <c r="E411" s="323"/>
      <c r="F411" s="124"/>
      <c r="G411" s="135"/>
      <c r="H411" s="135"/>
      <c r="I411" s="136"/>
      <c r="J411" s="135"/>
      <c r="K411" s="131">
        <f t="shared" si="53"/>
        <v>0</v>
      </c>
      <c r="L411" s="124">
        <v>0</v>
      </c>
      <c r="M411" s="124">
        <f t="shared" si="54"/>
        <v>0</v>
      </c>
      <c r="N411" s="270"/>
      <c r="O411" s="124">
        <f t="shared" si="56"/>
        <v>0</v>
      </c>
      <c r="P411" s="270"/>
    </row>
    <row r="412" spans="1:16">
      <c r="A412" s="77" t="s">
        <v>674</v>
      </c>
      <c r="B412" s="77" t="s">
        <v>48</v>
      </c>
      <c r="E412" s="104" t="s">
        <v>329</v>
      </c>
      <c r="F412" s="136">
        <f>F414+F415+F416+F417++F418+F419</f>
        <v>732350</v>
      </c>
      <c r="G412" s="135"/>
      <c r="H412" s="136">
        <f>H414+H417</f>
        <v>-6916</v>
      </c>
      <c r="I412" s="136">
        <f>SUM(I414:I419)</f>
        <v>44223</v>
      </c>
      <c r="J412" s="135"/>
      <c r="K412" s="136">
        <f t="shared" si="53"/>
        <v>769657</v>
      </c>
      <c r="L412" s="136">
        <f>SUM(L414:L419)</f>
        <v>871265</v>
      </c>
      <c r="M412" s="136">
        <f t="shared" si="54"/>
        <v>138915</v>
      </c>
      <c r="N412" s="157">
        <f t="shared" si="55"/>
        <v>0.18968389431282856</v>
      </c>
      <c r="O412" s="136">
        <f t="shared" si="56"/>
        <v>101608</v>
      </c>
      <c r="P412" s="157">
        <f t="shared" si="57"/>
        <v>0.13201724924219491</v>
      </c>
    </row>
    <row r="413" spans="1:16">
      <c r="E413" s="130" t="s">
        <v>47</v>
      </c>
      <c r="F413" s="124">
        <v>434</v>
      </c>
      <c r="G413" s="135"/>
      <c r="H413" s="125"/>
      <c r="I413" s="124"/>
      <c r="J413" s="135"/>
      <c r="K413" s="124">
        <f t="shared" si="53"/>
        <v>434</v>
      </c>
      <c r="L413" s="124">
        <v>434</v>
      </c>
      <c r="M413" s="124">
        <f t="shared" si="54"/>
        <v>0</v>
      </c>
      <c r="N413" s="270">
        <f t="shared" si="55"/>
        <v>0</v>
      </c>
      <c r="O413" s="124">
        <f t="shared" si="56"/>
        <v>0</v>
      </c>
      <c r="P413" s="270">
        <f t="shared" si="57"/>
        <v>0</v>
      </c>
    </row>
    <row r="414" spans="1:16">
      <c r="C414" s="537" t="s">
        <v>957</v>
      </c>
      <c r="D414" s="537" t="s">
        <v>1022</v>
      </c>
      <c r="E414" s="307" t="s">
        <v>330</v>
      </c>
      <c r="F414" s="125">
        <v>54915</v>
      </c>
      <c r="G414" s="135"/>
      <c r="H414" s="125">
        <v>4823</v>
      </c>
      <c r="I414" s="125"/>
      <c r="J414" s="135"/>
      <c r="K414" s="125">
        <f t="shared" si="53"/>
        <v>59738</v>
      </c>
      <c r="L414" s="125">
        <v>54915</v>
      </c>
      <c r="M414" s="125">
        <f t="shared" si="54"/>
        <v>0</v>
      </c>
      <c r="N414" s="284">
        <f t="shared" si="55"/>
        <v>0</v>
      </c>
      <c r="O414" s="125">
        <f t="shared" si="56"/>
        <v>-4823</v>
      </c>
      <c r="P414" s="284">
        <f t="shared" si="57"/>
        <v>-8.0735880009374261E-2</v>
      </c>
    </row>
    <row r="415" spans="1:16">
      <c r="C415" s="537" t="s">
        <v>957</v>
      </c>
      <c r="D415" s="537" t="s">
        <v>1022</v>
      </c>
      <c r="E415" s="307" t="s">
        <v>331</v>
      </c>
      <c r="F415" s="125">
        <v>120000</v>
      </c>
      <c r="G415" s="135"/>
      <c r="H415" s="135"/>
      <c r="I415" s="125">
        <v>2465</v>
      </c>
      <c r="J415" s="135"/>
      <c r="K415" s="125">
        <f t="shared" si="53"/>
        <v>122465</v>
      </c>
      <c r="L415" s="125">
        <v>196000</v>
      </c>
      <c r="M415" s="125">
        <f t="shared" si="54"/>
        <v>76000</v>
      </c>
      <c r="N415" s="284">
        <f t="shared" si="55"/>
        <v>0.6333333333333333</v>
      </c>
      <c r="O415" s="125">
        <f t="shared" si="56"/>
        <v>73535</v>
      </c>
      <c r="P415" s="284">
        <f t="shared" si="57"/>
        <v>0.60045727350671618</v>
      </c>
    </row>
    <row r="416" spans="1:16">
      <c r="C416" s="537"/>
      <c r="D416" s="537"/>
      <c r="E416" s="307" t="s">
        <v>332</v>
      </c>
      <c r="F416" s="125">
        <v>1875</v>
      </c>
      <c r="G416" s="135"/>
      <c r="H416" s="135"/>
      <c r="I416" s="136"/>
      <c r="J416" s="135"/>
      <c r="K416" s="125">
        <f t="shared" si="53"/>
        <v>1875</v>
      </c>
      <c r="L416" s="125">
        <v>1875</v>
      </c>
      <c r="M416" s="125">
        <f t="shared" si="54"/>
        <v>0</v>
      </c>
      <c r="N416" s="284">
        <f t="shared" si="55"/>
        <v>0</v>
      </c>
      <c r="O416" s="125">
        <f t="shared" si="56"/>
        <v>0</v>
      </c>
      <c r="P416" s="284">
        <f t="shared" si="57"/>
        <v>0</v>
      </c>
    </row>
    <row r="417" spans="1:16">
      <c r="C417" s="537" t="s">
        <v>957</v>
      </c>
      <c r="D417" s="537" t="s">
        <v>1022</v>
      </c>
      <c r="E417" s="307" t="s">
        <v>333</v>
      </c>
      <c r="F417" s="125">
        <v>60000</v>
      </c>
      <c r="G417" s="135"/>
      <c r="H417" s="125">
        <v>-11739</v>
      </c>
      <c r="I417" s="125">
        <v>10223</v>
      </c>
      <c r="J417" s="135"/>
      <c r="K417" s="125">
        <f t="shared" si="53"/>
        <v>58484</v>
      </c>
      <c r="L417" s="125">
        <v>60000</v>
      </c>
      <c r="M417" s="125">
        <f t="shared" si="54"/>
        <v>0</v>
      </c>
      <c r="N417" s="284">
        <f t="shared" si="55"/>
        <v>0</v>
      </c>
      <c r="O417" s="125">
        <f t="shared" si="56"/>
        <v>1516</v>
      </c>
      <c r="P417" s="284">
        <f t="shared" si="57"/>
        <v>2.5921619588263455E-2</v>
      </c>
    </row>
    <row r="418" spans="1:16">
      <c r="C418" s="537"/>
      <c r="D418" s="537"/>
      <c r="E418" s="307" t="s">
        <v>335</v>
      </c>
      <c r="F418" s="125">
        <v>5000</v>
      </c>
      <c r="G418" s="135"/>
      <c r="H418" s="135"/>
      <c r="I418" s="136"/>
      <c r="J418" s="135"/>
      <c r="K418" s="125">
        <f t="shared" si="53"/>
        <v>5000</v>
      </c>
      <c r="L418" s="125">
        <v>5000</v>
      </c>
      <c r="M418" s="125">
        <f t="shared" si="54"/>
        <v>0</v>
      </c>
      <c r="N418" s="284">
        <f t="shared" si="55"/>
        <v>0</v>
      </c>
      <c r="O418" s="125">
        <f t="shared" si="56"/>
        <v>0</v>
      </c>
      <c r="P418" s="284">
        <f t="shared" si="57"/>
        <v>0</v>
      </c>
    </row>
    <row r="419" spans="1:16">
      <c r="C419" s="537" t="s">
        <v>957</v>
      </c>
      <c r="D419" s="537" t="s">
        <v>1022</v>
      </c>
      <c r="E419" s="132" t="s">
        <v>334</v>
      </c>
      <c r="F419" s="124">
        <f>F420+F421+F422+F423</f>
        <v>490560</v>
      </c>
      <c r="G419" s="135"/>
      <c r="H419" s="135"/>
      <c r="I419" s="124">
        <f>I420+I421+I422</f>
        <v>31535</v>
      </c>
      <c r="J419" s="135"/>
      <c r="K419" s="124">
        <f t="shared" si="53"/>
        <v>522095</v>
      </c>
      <c r="L419" s="124">
        <f>SUM(L420:L424)</f>
        <v>553475</v>
      </c>
      <c r="M419" s="124">
        <f t="shared" si="54"/>
        <v>62915</v>
      </c>
      <c r="N419" s="270">
        <f t="shared" si="55"/>
        <v>0.12825138617090673</v>
      </c>
      <c r="O419" s="124">
        <f t="shared" si="56"/>
        <v>31380</v>
      </c>
      <c r="P419" s="270">
        <f t="shared" si="57"/>
        <v>6.0104004060563689E-2</v>
      </c>
    </row>
    <row r="420" spans="1:16">
      <c r="E420" s="356" t="s">
        <v>524</v>
      </c>
      <c r="F420" s="298">
        <v>296560</v>
      </c>
      <c r="G420" s="135"/>
      <c r="H420" s="135"/>
      <c r="I420" s="304">
        <f>10429+23571</f>
        <v>34000</v>
      </c>
      <c r="J420" s="135"/>
      <c r="K420" s="298">
        <f t="shared" si="53"/>
        <v>330560</v>
      </c>
      <c r="L420" s="298">
        <v>339475</v>
      </c>
      <c r="M420" s="298">
        <f t="shared" si="54"/>
        <v>42915</v>
      </c>
      <c r="N420" s="299">
        <f t="shared" si="55"/>
        <v>0.14470933369301323</v>
      </c>
      <c r="O420" s="298">
        <f t="shared" si="56"/>
        <v>8915</v>
      </c>
      <c r="P420" s="299">
        <f t="shared" si="57"/>
        <v>2.6969385285575992E-2</v>
      </c>
    </row>
    <row r="421" spans="1:16">
      <c r="E421" s="357" t="s">
        <v>336</v>
      </c>
      <c r="F421" s="304">
        <v>100000</v>
      </c>
      <c r="G421" s="135"/>
      <c r="H421" s="135"/>
      <c r="I421" s="304"/>
      <c r="J421" s="135"/>
      <c r="K421" s="304">
        <f t="shared" si="53"/>
        <v>100000</v>
      </c>
      <c r="L421" s="304">
        <v>120000</v>
      </c>
      <c r="M421" s="304">
        <f t="shared" si="54"/>
        <v>20000</v>
      </c>
      <c r="N421" s="305">
        <f t="shared" si="55"/>
        <v>0.2</v>
      </c>
      <c r="O421" s="304">
        <f t="shared" si="56"/>
        <v>20000</v>
      </c>
      <c r="P421" s="305">
        <f t="shared" si="57"/>
        <v>0.2</v>
      </c>
    </row>
    <row r="422" spans="1:16">
      <c r="E422" s="357" t="s">
        <v>337</v>
      </c>
      <c r="F422" s="304">
        <v>20000</v>
      </c>
      <c r="G422" s="135"/>
      <c r="H422" s="135"/>
      <c r="I422" s="304">
        <v>-2465</v>
      </c>
      <c r="J422" s="135"/>
      <c r="K422" s="304">
        <f t="shared" si="53"/>
        <v>17535</v>
      </c>
      <c r="L422" s="304">
        <v>20000</v>
      </c>
      <c r="M422" s="304">
        <f t="shared" si="54"/>
        <v>0</v>
      </c>
      <c r="N422" s="305">
        <f t="shared" si="55"/>
        <v>0</v>
      </c>
      <c r="O422" s="304">
        <f t="shared" si="56"/>
        <v>2465</v>
      </c>
      <c r="P422" s="305">
        <f t="shared" si="57"/>
        <v>0.14057599087539208</v>
      </c>
    </row>
    <row r="423" spans="1:16">
      <c r="E423" s="357" t="s">
        <v>386</v>
      </c>
      <c r="F423" s="304">
        <v>74000</v>
      </c>
      <c r="G423" s="135"/>
      <c r="H423" s="135"/>
      <c r="I423" s="136"/>
      <c r="J423" s="135"/>
      <c r="K423" s="304">
        <f t="shared" si="53"/>
        <v>74000</v>
      </c>
      <c r="L423" s="304">
        <v>74000</v>
      </c>
      <c r="M423" s="304">
        <f t="shared" si="54"/>
        <v>0</v>
      </c>
      <c r="N423" s="305">
        <f t="shared" si="55"/>
        <v>0</v>
      </c>
      <c r="O423" s="304">
        <f t="shared" si="56"/>
        <v>0</v>
      </c>
      <c r="P423" s="305">
        <f t="shared" si="57"/>
        <v>0</v>
      </c>
    </row>
    <row r="424" spans="1:16">
      <c r="E424" s="307"/>
      <c r="F424" s="125"/>
      <c r="G424" s="135"/>
      <c r="H424" s="135"/>
      <c r="I424" s="136"/>
      <c r="J424" s="135"/>
      <c r="K424" s="125">
        <f t="shared" si="53"/>
        <v>0</v>
      </c>
      <c r="L424" s="125">
        <v>0</v>
      </c>
      <c r="M424" s="125">
        <f t="shared" si="54"/>
        <v>0</v>
      </c>
      <c r="N424" s="284"/>
      <c r="O424" s="125">
        <f t="shared" si="56"/>
        <v>0</v>
      </c>
      <c r="P424" s="284"/>
    </row>
    <row r="425" spans="1:16">
      <c r="A425" s="77" t="s">
        <v>674</v>
      </c>
      <c r="B425" s="77" t="s">
        <v>48</v>
      </c>
      <c r="C425" s="537" t="s">
        <v>957</v>
      </c>
      <c r="D425" s="537" t="s">
        <v>1022</v>
      </c>
      <c r="E425" s="280" t="s">
        <v>1177</v>
      </c>
      <c r="F425" s="281">
        <v>21070</v>
      </c>
      <c r="G425" s="135"/>
      <c r="H425" s="281">
        <v>58089</v>
      </c>
      <c r="I425" s="281">
        <f>39328+32872-10223</f>
        <v>61977</v>
      </c>
      <c r="J425" s="135"/>
      <c r="K425" s="281">
        <f t="shared" si="53"/>
        <v>141136</v>
      </c>
      <c r="L425" s="281">
        <v>0</v>
      </c>
      <c r="M425" s="281">
        <f t="shared" si="54"/>
        <v>-21070</v>
      </c>
      <c r="N425" s="282">
        <f t="shared" si="55"/>
        <v>-1</v>
      </c>
      <c r="O425" s="281">
        <f t="shared" si="56"/>
        <v>-141136</v>
      </c>
      <c r="P425" s="282">
        <f t="shared" si="57"/>
        <v>-1</v>
      </c>
    </row>
    <row r="426" spans="1:16">
      <c r="E426" s="130" t="s">
        <v>47</v>
      </c>
      <c r="F426" s="124">
        <v>9450</v>
      </c>
      <c r="G426" s="135"/>
      <c r="H426" s="124">
        <v>49570</v>
      </c>
      <c r="I426" s="124">
        <f>22584+23000</f>
        <v>45584</v>
      </c>
      <c r="J426" s="135"/>
      <c r="K426" s="124">
        <f t="shared" si="53"/>
        <v>104604</v>
      </c>
      <c r="L426" s="124">
        <v>0</v>
      </c>
      <c r="M426" s="124">
        <f t="shared" si="54"/>
        <v>-9450</v>
      </c>
      <c r="N426" s="270">
        <f t="shared" si="55"/>
        <v>-1</v>
      </c>
      <c r="O426" s="124">
        <f t="shared" si="56"/>
        <v>-104604</v>
      </c>
      <c r="P426" s="270">
        <f t="shared" si="57"/>
        <v>-1</v>
      </c>
    </row>
    <row r="427" spans="1:16">
      <c r="E427" s="130"/>
      <c r="F427" s="124"/>
      <c r="G427" s="135"/>
      <c r="H427" s="135"/>
      <c r="I427" s="136"/>
      <c r="J427" s="135"/>
      <c r="K427" s="124">
        <f t="shared" si="53"/>
        <v>0</v>
      </c>
      <c r="L427" s="124">
        <v>0</v>
      </c>
      <c r="M427" s="124">
        <f t="shared" si="54"/>
        <v>0</v>
      </c>
      <c r="N427" s="270"/>
      <c r="O427" s="124">
        <f t="shared" si="56"/>
        <v>0</v>
      </c>
      <c r="P427" s="270"/>
    </row>
    <row r="428" spans="1:16">
      <c r="A428" s="77" t="s">
        <v>672</v>
      </c>
      <c r="B428" s="77" t="s">
        <v>48</v>
      </c>
      <c r="C428" s="537" t="s">
        <v>1001</v>
      </c>
      <c r="D428" s="537" t="s">
        <v>947</v>
      </c>
      <c r="E428" s="273" t="s">
        <v>741</v>
      </c>
      <c r="F428" s="131">
        <v>43900</v>
      </c>
      <c r="G428" s="135"/>
      <c r="H428" s="135"/>
      <c r="I428" s="136"/>
      <c r="J428" s="135"/>
      <c r="K428" s="131">
        <f t="shared" si="53"/>
        <v>43900</v>
      </c>
      <c r="L428" s="131">
        <v>43900</v>
      </c>
      <c r="M428" s="131">
        <f t="shared" si="54"/>
        <v>0</v>
      </c>
      <c r="N428" s="157">
        <f t="shared" si="55"/>
        <v>0</v>
      </c>
      <c r="O428" s="131">
        <f t="shared" si="56"/>
        <v>0</v>
      </c>
      <c r="P428" s="157">
        <f t="shared" si="57"/>
        <v>0</v>
      </c>
    </row>
    <row r="429" spans="1:16">
      <c r="E429" s="331" t="s">
        <v>742</v>
      </c>
      <c r="F429" s="328">
        <v>20000</v>
      </c>
      <c r="G429" s="135"/>
      <c r="H429" s="135"/>
      <c r="I429" s="136"/>
      <c r="J429" s="135"/>
      <c r="K429" s="328">
        <f t="shared" si="53"/>
        <v>20000</v>
      </c>
      <c r="L429" s="328">
        <v>20000</v>
      </c>
      <c r="M429" s="328">
        <f t="shared" si="54"/>
        <v>0</v>
      </c>
      <c r="N429" s="299">
        <f t="shared" si="55"/>
        <v>0</v>
      </c>
      <c r="O429" s="328">
        <f t="shared" si="56"/>
        <v>0</v>
      </c>
      <c r="P429" s="299">
        <f t="shared" si="57"/>
        <v>0</v>
      </c>
    </row>
    <row r="430" spans="1:16">
      <c r="E430" s="331"/>
      <c r="F430" s="328"/>
      <c r="G430" s="135"/>
      <c r="H430" s="135"/>
      <c r="I430" s="136"/>
      <c r="J430" s="135"/>
      <c r="K430" s="328">
        <f t="shared" si="53"/>
        <v>0</v>
      </c>
      <c r="L430" s="328">
        <v>0</v>
      </c>
      <c r="M430" s="328">
        <f t="shared" si="54"/>
        <v>0</v>
      </c>
      <c r="N430" s="299"/>
      <c r="O430" s="328">
        <f t="shared" si="56"/>
        <v>0</v>
      </c>
      <c r="P430" s="299"/>
    </row>
    <row r="431" spans="1:16">
      <c r="A431" s="77" t="s">
        <v>671</v>
      </c>
      <c r="B431" s="77" t="s">
        <v>48</v>
      </c>
      <c r="C431" s="537" t="s">
        <v>957</v>
      </c>
      <c r="D431" s="537" t="s">
        <v>989</v>
      </c>
      <c r="E431" s="103" t="s">
        <v>836</v>
      </c>
      <c r="F431" s="328"/>
      <c r="G431" s="135"/>
      <c r="H431" s="135"/>
      <c r="I431" s="136"/>
      <c r="J431" s="135"/>
      <c r="K431" s="328">
        <f t="shared" si="53"/>
        <v>0</v>
      </c>
      <c r="L431" s="131">
        <v>8000</v>
      </c>
      <c r="M431" s="131">
        <f t="shared" si="54"/>
        <v>8000</v>
      </c>
      <c r="N431" s="157"/>
      <c r="O431" s="131">
        <f t="shared" si="56"/>
        <v>8000</v>
      </c>
      <c r="P431" s="157"/>
    </row>
    <row r="432" spans="1:16">
      <c r="E432" s="130"/>
      <c r="F432" s="124"/>
      <c r="G432" s="135"/>
      <c r="H432" s="135"/>
      <c r="I432" s="136"/>
      <c r="J432" s="135"/>
      <c r="K432" s="124">
        <f t="shared" si="53"/>
        <v>0</v>
      </c>
      <c r="L432" s="124">
        <v>0</v>
      </c>
      <c r="M432" s="124">
        <f t="shared" si="54"/>
        <v>0</v>
      </c>
      <c r="N432" s="270"/>
      <c r="O432" s="124">
        <f t="shared" si="56"/>
        <v>0</v>
      </c>
      <c r="P432" s="270"/>
    </row>
    <row r="433" spans="1:16">
      <c r="A433" s="77" t="s">
        <v>671</v>
      </c>
      <c r="B433" s="77" t="s">
        <v>48</v>
      </c>
      <c r="C433" s="537" t="s">
        <v>957</v>
      </c>
      <c r="D433" s="537" t="s">
        <v>989</v>
      </c>
      <c r="E433" s="267" t="s">
        <v>451</v>
      </c>
      <c r="F433" s="268">
        <v>18000</v>
      </c>
      <c r="G433" s="135"/>
      <c r="H433" s="135"/>
      <c r="I433" s="136"/>
      <c r="J433" s="135"/>
      <c r="K433" s="268">
        <f t="shared" si="53"/>
        <v>18000</v>
      </c>
      <c r="L433" s="268">
        <v>18000</v>
      </c>
      <c r="M433" s="268">
        <f t="shared" si="54"/>
        <v>0</v>
      </c>
      <c r="N433" s="157">
        <f t="shared" si="55"/>
        <v>0</v>
      </c>
      <c r="O433" s="268">
        <f t="shared" si="56"/>
        <v>0</v>
      </c>
      <c r="P433" s="157">
        <f t="shared" si="57"/>
        <v>0</v>
      </c>
    </row>
    <row r="434" spans="1:16">
      <c r="E434" s="10"/>
      <c r="F434" s="136"/>
      <c r="G434" s="135"/>
      <c r="H434" s="135"/>
      <c r="I434" s="136"/>
      <c r="J434" s="135"/>
      <c r="K434" s="136">
        <f t="shared" si="53"/>
        <v>0</v>
      </c>
      <c r="L434" s="136">
        <v>0</v>
      </c>
      <c r="M434" s="136">
        <f t="shared" si="54"/>
        <v>0</v>
      </c>
      <c r="N434" s="157"/>
      <c r="O434" s="136">
        <f t="shared" si="56"/>
        <v>0</v>
      </c>
      <c r="P434" s="157"/>
    </row>
    <row r="435" spans="1:16">
      <c r="A435" s="77" t="s">
        <v>671</v>
      </c>
      <c r="B435" s="77" t="s">
        <v>48</v>
      </c>
      <c r="C435" s="537" t="s">
        <v>957</v>
      </c>
      <c r="D435" s="537" t="s">
        <v>1003</v>
      </c>
      <c r="E435" s="267" t="s">
        <v>452</v>
      </c>
      <c r="F435" s="268">
        <v>52630</v>
      </c>
      <c r="G435" s="135"/>
      <c r="H435" s="135"/>
      <c r="I435" s="136"/>
      <c r="J435" s="135"/>
      <c r="K435" s="268">
        <f t="shared" si="53"/>
        <v>52630</v>
      </c>
      <c r="L435" s="268">
        <v>47367</v>
      </c>
      <c r="M435" s="268">
        <f t="shared" si="54"/>
        <v>-5263</v>
      </c>
      <c r="N435" s="157">
        <f t="shared" si="55"/>
        <v>-0.1</v>
      </c>
      <c r="O435" s="268">
        <f t="shared" si="56"/>
        <v>-5263</v>
      </c>
      <c r="P435" s="157">
        <f t="shared" si="57"/>
        <v>-0.1</v>
      </c>
    </row>
    <row r="436" spans="1:16">
      <c r="E436" s="267"/>
      <c r="F436" s="268"/>
      <c r="G436" s="135"/>
      <c r="H436" s="135"/>
      <c r="I436" s="136"/>
      <c r="J436" s="135"/>
      <c r="K436" s="268">
        <f t="shared" si="53"/>
        <v>0</v>
      </c>
      <c r="L436" s="268">
        <v>0</v>
      </c>
      <c r="M436" s="268">
        <f t="shared" si="54"/>
        <v>0</v>
      </c>
      <c r="N436" s="157"/>
      <c r="O436" s="268">
        <f t="shared" si="56"/>
        <v>0</v>
      </c>
      <c r="P436" s="157"/>
    </row>
    <row r="437" spans="1:16">
      <c r="A437" s="77" t="s">
        <v>671</v>
      </c>
      <c r="B437" s="77" t="s">
        <v>48</v>
      </c>
      <c r="C437" s="537" t="s">
        <v>957</v>
      </c>
      <c r="D437" s="537"/>
      <c r="E437" s="267" t="s">
        <v>1061</v>
      </c>
      <c r="F437" s="268"/>
      <c r="G437" s="135"/>
      <c r="H437" s="135"/>
      <c r="I437" s="136"/>
      <c r="J437" s="135"/>
      <c r="K437" s="268">
        <f t="shared" si="53"/>
        <v>0</v>
      </c>
      <c r="L437" s="268">
        <v>79924</v>
      </c>
      <c r="M437" s="268">
        <f t="shared" si="54"/>
        <v>79924</v>
      </c>
      <c r="N437" s="157"/>
      <c r="O437" s="268">
        <f t="shared" si="56"/>
        <v>79924</v>
      </c>
      <c r="P437" s="157"/>
    </row>
    <row r="438" spans="1:16">
      <c r="E438" s="267"/>
      <c r="F438" s="268"/>
      <c r="G438" s="135"/>
      <c r="H438" s="135"/>
      <c r="I438" s="136"/>
      <c r="J438" s="135"/>
      <c r="K438" s="268">
        <f t="shared" si="53"/>
        <v>0</v>
      </c>
      <c r="L438" s="268">
        <v>0</v>
      </c>
      <c r="M438" s="268">
        <f t="shared" si="54"/>
        <v>0</v>
      </c>
      <c r="N438" s="157"/>
      <c r="O438" s="268">
        <f t="shared" si="56"/>
        <v>0</v>
      </c>
      <c r="P438" s="157"/>
    </row>
    <row r="439" spans="1:16" ht="39.6">
      <c r="A439" s="77" t="s">
        <v>671</v>
      </c>
      <c r="B439" s="77" t="s">
        <v>48</v>
      </c>
      <c r="C439" s="537" t="s">
        <v>957</v>
      </c>
      <c r="D439" s="537"/>
      <c r="E439" s="290" t="s">
        <v>867</v>
      </c>
      <c r="F439" s="268">
        <v>1000</v>
      </c>
      <c r="G439" s="135"/>
      <c r="H439" s="135"/>
      <c r="I439" s="136"/>
      <c r="J439" s="135"/>
      <c r="K439" s="268">
        <f t="shared" si="53"/>
        <v>1000</v>
      </c>
      <c r="L439" s="268">
        <v>1000</v>
      </c>
      <c r="M439" s="268">
        <f t="shared" si="54"/>
        <v>0</v>
      </c>
      <c r="N439" s="157">
        <f t="shared" si="55"/>
        <v>0</v>
      </c>
      <c r="O439" s="268">
        <f t="shared" si="56"/>
        <v>0</v>
      </c>
      <c r="P439" s="157">
        <f t="shared" si="57"/>
        <v>0</v>
      </c>
    </row>
    <row r="440" spans="1:16">
      <c r="E440" s="267"/>
      <c r="F440" s="268"/>
      <c r="G440" s="135"/>
      <c r="H440" s="135"/>
      <c r="I440" s="136"/>
      <c r="J440" s="135"/>
      <c r="K440" s="268">
        <f t="shared" si="53"/>
        <v>0</v>
      </c>
      <c r="L440" s="268">
        <v>0</v>
      </c>
      <c r="M440" s="268">
        <f t="shared" si="54"/>
        <v>0</v>
      </c>
      <c r="N440" s="157"/>
      <c r="O440" s="268">
        <f t="shared" si="56"/>
        <v>0</v>
      </c>
      <c r="P440" s="157"/>
    </row>
    <row r="441" spans="1:16">
      <c r="A441" s="135" t="s">
        <v>671</v>
      </c>
      <c r="B441" s="77" t="s">
        <v>48</v>
      </c>
      <c r="C441" s="537" t="s">
        <v>957</v>
      </c>
      <c r="D441" s="537"/>
      <c r="E441" s="267" t="s">
        <v>868</v>
      </c>
      <c r="F441" s="268"/>
      <c r="G441" s="135"/>
      <c r="H441" s="281">
        <v>100000</v>
      </c>
      <c r="I441" s="281"/>
      <c r="J441" s="135"/>
      <c r="K441" s="268">
        <f t="shared" si="53"/>
        <v>100000</v>
      </c>
      <c r="L441" s="268">
        <v>0</v>
      </c>
      <c r="M441" s="268">
        <f t="shared" si="54"/>
        <v>0</v>
      </c>
      <c r="N441" s="157"/>
      <c r="O441" s="268">
        <f t="shared" si="56"/>
        <v>-100000</v>
      </c>
      <c r="P441" s="157">
        <f t="shared" si="57"/>
        <v>-1</v>
      </c>
    </row>
    <row r="442" spans="1:16">
      <c r="A442" s="135"/>
      <c r="C442" s="537"/>
      <c r="D442" s="537"/>
      <c r="E442" s="267"/>
      <c r="F442" s="268"/>
      <c r="G442" s="135"/>
      <c r="H442" s="281"/>
      <c r="I442" s="281"/>
      <c r="J442" s="135"/>
      <c r="K442" s="268">
        <f t="shared" si="53"/>
        <v>0</v>
      </c>
      <c r="L442" s="268">
        <v>0</v>
      </c>
      <c r="M442" s="268">
        <f t="shared" si="54"/>
        <v>0</v>
      </c>
      <c r="N442" s="157"/>
      <c r="O442" s="268">
        <f t="shared" si="56"/>
        <v>0</v>
      </c>
      <c r="P442" s="157"/>
    </row>
    <row r="443" spans="1:16">
      <c r="A443" s="135" t="s">
        <v>671</v>
      </c>
      <c r="B443" s="77" t="s">
        <v>48</v>
      </c>
      <c r="C443" s="537"/>
      <c r="D443" s="537"/>
      <c r="E443" s="267" t="s">
        <v>1200</v>
      </c>
      <c r="F443" s="268"/>
      <c r="G443" s="135"/>
      <c r="H443" s="281"/>
      <c r="I443" s="281"/>
      <c r="J443" s="135"/>
      <c r="K443" s="268">
        <f t="shared" si="53"/>
        <v>0</v>
      </c>
      <c r="L443" s="268">
        <v>65000</v>
      </c>
      <c r="M443" s="268">
        <f t="shared" si="54"/>
        <v>65000</v>
      </c>
      <c r="N443" s="157"/>
      <c r="O443" s="268">
        <f t="shared" si="56"/>
        <v>65000</v>
      </c>
      <c r="P443" s="157"/>
    </row>
    <row r="444" spans="1:16">
      <c r="E444" s="267"/>
      <c r="F444" s="268"/>
      <c r="G444" s="135"/>
      <c r="H444" s="135"/>
      <c r="I444" s="136"/>
      <c r="J444" s="135"/>
      <c r="K444" s="268">
        <f t="shared" si="53"/>
        <v>0</v>
      </c>
      <c r="L444" s="268">
        <v>0</v>
      </c>
      <c r="M444" s="268">
        <f t="shared" si="54"/>
        <v>0</v>
      </c>
      <c r="N444" s="157"/>
      <c r="O444" s="268">
        <f t="shared" si="56"/>
        <v>0</v>
      </c>
      <c r="P444" s="157"/>
    </row>
    <row r="445" spans="1:16" ht="26.4">
      <c r="A445" s="77" t="s">
        <v>671</v>
      </c>
      <c r="B445" s="77" t="s">
        <v>48</v>
      </c>
      <c r="C445" s="537" t="s">
        <v>957</v>
      </c>
      <c r="D445" s="537"/>
      <c r="E445" s="358" t="s">
        <v>869</v>
      </c>
      <c r="F445" s="610">
        <v>58515</v>
      </c>
      <c r="G445" s="135"/>
      <c r="H445" s="135"/>
      <c r="I445" s="136"/>
      <c r="J445" s="135"/>
      <c r="K445" s="268">
        <f t="shared" si="53"/>
        <v>58515</v>
      </c>
      <c r="L445" s="610">
        <v>58516</v>
      </c>
      <c r="M445" s="610">
        <f t="shared" si="54"/>
        <v>1</v>
      </c>
      <c r="N445" s="282">
        <f t="shared" si="55"/>
        <v>1.708963513628984E-5</v>
      </c>
      <c r="O445" s="610">
        <f t="shared" si="56"/>
        <v>1</v>
      </c>
      <c r="P445" s="282">
        <f t="shared" si="57"/>
        <v>1.708963513628984E-5</v>
      </c>
    </row>
    <row r="446" spans="1:16">
      <c r="E446" s="130" t="s">
        <v>47</v>
      </c>
      <c r="F446" s="124">
        <v>35500</v>
      </c>
      <c r="G446" s="135"/>
      <c r="H446" s="135"/>
      <c r="I446" s="136"/>
      <c r="J446" s="135"/>
      <c r="K446" s="268">
        <f t="shared" si="53"/>
        <v>35500</v>
      </c>
      <c r="L446" s="124">
        <v>35500</v>
      </c>
      <c r="M446" s="124">
        <f t="shared" si="54"/>
        <v>0</v>
      </c>
      <c r="N446" s="270">
        <f t="shared" si="55"/>
        <v>0</v>
      </c>
      <c r="O446" s="124">
        <f t="shared" si="56"/>
        <v>0</v>
      </c>
      <c r="P446" s="270">
        <f t="shared" si="57"/>
        <v>0</v>
      </c>
    </row>
    <row r="447" spans="1:16">
      <c r="E447" s="360"/>
      <c r="F447" s="456"/>
      <c r="G447" s="135"/>
      <c r="H447" s="135"/>
      <c r="I447" s="136"/>
      <c r="J447" s="135"/>
      <c r="K447" s="268">
        <f t="shared" si="53"/>
        <v>0</v>
      </c>
      <c r="L447" s="456">
        <v>0</v>
      </c>
      <c r="M447" s="456">
        <f t="shared" si="54"/>
        <v>0</v>
      </c>
      <c r="N447" s="370"/>
      <c r="O447" s="456">
        <f t="shared" si="56"/>
        <v>0</v>
      </c>
      <c r="P447" s="370"/>
    </row>
    <row r="448" spans="1:16">
      <c r="E448" s="307" t="s">
        <v>224</v>
      </c>
      <c r="F448" s="125">
        <f>F445</f>
        <v>58515</v>
      </c>
      <c r="G448" s="135"/>
      <c r="H448" s="135"/>
      <c r="I448" s="136"/>
      <c r="J448" s="135"/>
      <c r="K448" s="268">
        <f t="shared" si="53"/>
        <v>58515</v>
      </c>
      <c r="L448" s="125">
        <v>58516</v>
      </c>
      <c r="M448" s="125">
        <f t="shared" si="54"/>
        <v>1</v>
      </c>
      <c r="N448" s="284">
        <f t="shared" si="55"/>
        <v>1.708963513628984E-5</v>
      </c>
      <c r="O448" s="125">
        <f t="shared" si="56"/>
        <v>1</v>
      </c>
      <c r="P448" s="284">
        <f t="shared" si="57"/>
        <v>1.708963513628984E-5</v>
      </c>
    </row>
    <row r="449" spans="1:16">
      <c r="E449" s="361"/>
      <c r="F449" s="362"/>
      <c r="G449" s="135"/>
      <c r="H449" s="135"/>
      <c r="I449" s="136"/>
      <c r="J449" s="135"/>
      <c r="K449" s="362">
        <f t="shared" si="53"/>
        <v>0</v>
      </c>
      <c r="L449" s="362">
        <v>0</v>
      </c>
      <c r="M449" s="362">
        <f t="shared" si="54"/>
        <v>0</v>
      </c>
      <c r="N449" s="189"/>
      <c r="O449" s="362">
        <f t="shared" si="56"/>
        <v>0</v>
      </c>
      <c r="P449" s="189"/>
    </row>
    <row r="450" spans="1:16" ht="39.6">
      <c r="A450" s="135" t="s">
        <v>671</v>
      </c>
      <c r="B450" s="77" t="s">
        <v>48</v>
      </c>
      <c r="C450" s="537" t="s">
        <v>957</v>
      </c>
      <c r="D450" s="537" t="s">
        <v>974</v>
      </c>
      <c r="E450" s="358" t="s">
        <v>508</v>
      </c>
      <c r="F450" s="362"/>
      <c r="G450" s="135"/>
      <c r="H450" s="610">
        <v>144700</v>
      </c>
      <c r="I450" s="610"/>
      <c r="J450" s="135"/>
      <c r="K450" s="362">
        <f t="shared" si="53"/>
        <v>144700</v>
      </c>
      <c r="L450" s="362">
        <v>0</v>
      </c>
      <c r="M450" s="362">
        <f t="shared" si="54"/>
        <v>0</v>
      </c>
      <c r="N450" s="189"/>
      <c r="O450" s="362">
        <f t="shared" si="56"/>
        <v>-144700</v>
      </c>
      <c r="P450" s="189">
        <f t="shared" si="57"/>
        <v>-1</v>
      </c>
    </row>
    <row r="451" spans="1:16">
      <c r="E451" s="267"/>
      <c r="F451" s="362"/>
      <c r="G451" s="135"/>
      <c r="H451" s="268"/>
      <c r="I451" s="268"/>
      <c r="J451" s="135"/>
      <c r="K451" s="362">
        <f t="shared" si="53"/>
        <v>0</v>
      </c>
      <c r="L451" s="362">
        <v>0</v>
      </c>
      <c r="M451" s="362">
        <f t="shared" si="54"/>
        <v>0</v>
      </c>
      <c r="N451" s="189"/>
      <c r="O451" s="362">
        <f t="shared" si="56"/>
        <v>0</v>
      </c>
      <c r="P451" s="189"/>
    </row>
    <row r="452" spans="1:16">
      <c r="E452" s="307" t="s">
        <v>507</v>
      </c>
      <c r="F452" s="362"/>
      <c r="G452" s="135"/>
      <c r="H452" s="125">
        <f>21705+18450-1</f>
        <v>40154</v>
      </c>
      <c r="I452" s="125"/>
      <c r="J452" s="135"/>
      <c r="K452" s="125">
        <f t="shared" si="53"/>
        <v>40154</v>
      </c>
      <c r="L452" s="362">
        <v>0</v>
      </c>
      <c r="M452" s="362">
        <f t="shared" si="54"/>
        <v>0</v>
      </c>
      <c r="N452" s="189"/>
      <c r="O452" s="362">
        <f t="shared" si="56"/>
        <v>-40154</v>
      </c>
      <c r="P452" s="189">
        <f t="shared" si="57"/>
        <v>-1</v>
      </c>
    </row>
    <row r="453" spans="1:16">
      <c r="E453" s="307" t="s">
        <v>224</v>
      </c>
      <c r="F453" s="362"/>
      <c r="G453" s="135"/>
      <c r="H453" s="125">
        <f>104545+1</f>
        <v>104546</v>
      </c>
      <c r="I453" s="125"/>
      <c r="J453" s="135"/>
      <c r="K453" s="125">
        <f t="shared" si="53"/>
        <v>104546</v>
      </c>
      <c r="L453" s="362">
        <v>0</v>
      </c>
      <c r="M453" s="362">
        <f t="shared" si="54"/>
        <v>0</v>
      </c>
      <c r="N453" s="189"/>
      <c r="O453" s="362">
        <f t="shared" si="56"/>
        <v>-104546</v>
      </c>
      <c r="P453" s="189">
        <f t="shared" si="57"/>
        <v>-1</v>
      </c>
    </row>
    <row r="454" spans="1:16">
      <c r="E454" s="361"/>
      <c r="F454" s="362"/>
      <c r="G454" s="135"/>
      <c r="H454" s="135"/>
      <c r="I454" s="136"/>
      <c r="J454" s="135"/>
      <c r="K454" s="362">
        <f t="shared" si="53"/>
        <v>0</v>
      </c>
      <c r="L454" s="362">
        <v>0</v>
      </c>
      <c r="M454" s="362">
        <f t="shared" si="54"/>
        <v>0</v>
      </c>
      <c r="N454" s="189"/>
      <c r="O454" s="362">
        <f t="shared" si="56"/>
        <v>0</v>
      </c>
      <c r="P454" s="189"/>
    </row>
    <row r="455" spans="1:16">
      <c r="E455" s="361"/>
      <c r="F455" s="362"/>
      <c r="G455" s="135"/>
      <c r="H455" s="135"/>
      <c r="I455" s="136"/>
      <c r="J455" s="135"/>
      <c r="K455" s="362">
        <f t="shared" si="53"/>
        <v>0</v>
      </c>
      <c r="L455" s="362">
        <v>0</v>
      </c>
      <c r="M455" s="362">
        <f t="shared" si="54"/>
        <v>0</v>
      </c>
      <c r="N455" s="189"/>
      <c r="O455" s="362">
        <f t="shared" si="56"/>
        <v>0</v>
      </c>
      <c r="P455" s="189"/>
    </row>
    <row r="456" spans="1:16">
      <c r="E456" s="361"/>
      <c r="F456" s="362"/>
      <c r="G456" s="135"/>
      <c r="H456" s="135"/>
      <c r="I456" s="136"/>
      <c r="J456" s="135"/>
      <c r="K456" s="362">
        <f t="shared" ref="K456:K519" si="58">F456+G456+H456+J456+I456</f>
        <v>0</v>
      </c>
      <c r="L456" s="362">
        <v>0</v>
      </c>
      <c r="M456" s="362">
        <f t="shared" ref="M456:M519" si="59">L456-F456</f>
        <v>0</v>
      </c>
      <c r="N456" s="189"/>
      <c r="O456" s="362">
        <f t="shared" ref="O456:O519" si="60">L456-K456</f>
        <v>0</v>
      </c>
      <c r="P456" s="189"/>
    </row>
    <row r="457" spans="1:16" ht="15.6">
      <c r="E457" s="259" t="s">
        <v>587</v>
      </c>
      <c r="F457" s="260"/>
      <c r="G457" s="135"/>
      <c r="H457" s="135"/>
      <c r="I457" s="136"/>
      <c r="J457" s="135"/>
      <c r="K457" s="260">
        <f t="shared" si="58"/>
        <v>0</v>
      </c>
      <c r="L457" s="260">
        <v>0</v>
      </c>
      <c r="M457" s="260">
        <f t="shared" si="59"/>
        <v>0</v>
      </c>
      <c r="N457" s="275"/>
      <c r="O457" s="260">
        <f t="shared" si="60"/>
        <v>0</v>
      </c>
      <c r="P457" s="275"/>
    </row>
    <row r="458" spans="1:16" ht="13.8">
      <c r="E458" s="310"/>
      <c r="F458" s="311"/>
      <c r="G458" s="135"/>
      <c r="H458" s="135"/>
      <c r="I458" s="136"/>
      <c r="J458" s="135"/>
      <c r="K458" s="311">
        <f t="shared" si="58"/>
        <v>0</v>
      </c>
      <c r="L458" s="311">
        <v>0</v>
      </c>
      <c r="M458" s="311">
        <f t="shared" si="59"/>
        <v>0</v>
      </c>
      <c r="N458" s="313"/>
      <c r="O458" s="311">
        <f t="shared" si="60"/>
        <v>0</v>
      </c>
      <c r="P458" s="313"/>
    </row>
    <row r="459" spans="1:16">
      <c r="E459" s="261" t="s">
        <v>98</v>
      </c>
      <c r="F459" s="127">
        <f>F467+F475+F520+F552</f>
        <v>35913336</v>
      </c>
      <c r="G459" s="127">
        <f>G467+G475+G520+G552</f>
        <v>0</v>
      </c>
      <c r="H459" s="127">
        <f>H467+H475+H520+H552</f>
        <v>1015749</v>
      </c>
      <c r="I459" s="127">
        <f>I467+I475+I520+I552</f>
        <v>483851</v>
      </c>
      <c r="J459" s="127">
        <f>J467+J475+J520+J552</f>
        <v>1044078</v>
      </c>
      <c r="K459" s="127">
        <f t="shared" si="58"/>
        <v>38457014</v>
      </c>
      <c r="L459" s="127">
        <f>L467+L475+L520+L552</f>
        <v>38560372</v>
      </c>
      <c r="M459" s="127">
        <f t="shared" si="59"/>
        <v>2647036</v>
      </c>
      <c r="N459" s="160">
        <f t="shared" ref="N459:N518" si="61">M459/F459</f>
        <v>7.3706213201691989E-2</v>
      </c>
      <c r="O459" s="127">
        <f t="shared" si="60"/>
        <v>103358</v>
      </c>
      <c r="P459" s="160">
        <f t="shared" ref="P459:P518" si="62">O459/K459</f>
        <v>2.6876241613558454E-3</v>
      </c>
    </row>
    <row r="460" spans="1:16">
      <c r="E460" s="262" t="s">
        <v>359</v>
      </c>
      <c r="F460" s="128">
        <v>5000000</v>
      </c>
      <c r="G460" s="128"/>
      <c r="H460" s="128"/>
      <c r="I460" s="128"/>
      <c r="J460" s="128"/>
      <c r="K460" s="128">
        <f t="shared" si="58"/>
        <v>5000000</v>
      </c>
      <c r="L460" s="128">
        <v>5000000</v>
      </c>
      <c r="M460" s="128">
        <f t="shared" si="59"/>
        <v>0</v>
      </c>
      <c r="N460" s="91">
        <f t="shared" si="61"/>
        <v>0</v>
      </c>
      <c r="O460" s="128">
        <f t="shared" si="60"/>
        <v>0</v>
      </c>
      <c r="P460" s="91">
        <f t="shared" si="62"/>
        <v>0</v>
      </c>
    </row>
    <row r="461" spans="1:16">
      <c r="E461" s="261" t="s">
        <v>44</v>
      </c>
      <c r="F461" s="127">
        <f>SUM(F462:F464)</f>
        <v>35913336</v>
      </c>
      <c r="G461" s="127">
        <f>SUM(G462:G464)</f>
        <v>0</v>
      </c>
      <c r="H461" s="127">
        <f>SUM(H462:H464)</f>
        <v>1015749</v>
      </c>
      <c r="I461" s="127">
        <f>SUM(I462:I464)</f>
        <v>483851</v>
      </c>
      <c r="J461" s="127">
        <f>SUM(J462:J464)</f>
        <v>1044078</v>
      </c>
      <c r="K461" s="127">
        <f t="shared" si="58"/>
        <v>38457014</v>
      </c>
      <c r="L461" s="127">
        <f>SUM(L462:L464)</f>
        <v>38560372</v>
      </c>
      <c r="M461" s="127">
        <f t="shared" si="59"/>
        <v>2647036</v>
      </c>
      <c r="N461" s="160">
        <f t="shared" si="61"/>
        <v>7.3706213201691989E-2</v>
      </c>
      <c r="O461" s="127">
        <f t="shared" si="60"/>
        <v>103358</v>
      </c>
      <c r="P461" s="160">
        <f t="shared" si="62"/>
        <v>2.6876241613558454E-3</v>
      </c>
    </row>
    <row r="462" spans="1:16">
      <c r="E462" s="262" t="s">
        <v>45</v>
      </c>
      <c r="F462" s="128">
        <v>9431620</v>
      </c>
      <c r="G462" s="128"/>
      <c r="H462" s="128">
        <v>103880</v>
      </c>
      <c r="I462" s="128">
        <v>-252150</v>
      </c>
      <c r="J462" s="128"/>
      <c r="K462" s="128">
        <f t="shared" si="58"/>
        <v>9283350</v>
      </c>
      <c r="L462" s="128">
        <v>9865285</v>
      </c>
      <c r="M462" s="128">
        <f t="shared" si="59"/>
        <v>433665</v>
      </c>
      <c r="N462" s="91">
        <f t="shared" si="61"/>
        <v>4.5979905891034629E-2</v>
      </c>
      <c r="O462" s="128">
        <f t="shared" si="60"/>
        <v>581935</v>
      </c>
      <c r="P462" s="91">
        <f t="shared" si="62"/>
        <v>6.2685883867353923E-2</v>
      </c>
    </row>
    <row r="463" spans="1:16">
      <c r="E463" s="263" t="s">
        <v>0</v>
      </c>
      <c r="F463" s="128">
        <f>F511</f>
        <v>953466</v>
      </c>
      <c r="G463" s="128">
        <f t="shared" ref="G463:H463" si="63">G511</f>
        <v>0</v>
      </c>
      <c r="H463" s="128">
        <f t="shared" si="63"/>
        <v>-29647</v>
      </c>
      <c r="I463" s="128">
        <f>I511</f>
        <v>0</v>
      </c>
      <c r="J463" s="128"/>
      <c r="K463" s="128">
        <f t="shared" si="58"/>
        <v>923819</v>
      </c>
      <c r="L463" s="128">
        <v>923819</v>
      </c>
      <c r="M463" s="128">
        <f t="shared" si="59"/>
        <v>-29647</v>
      </c>
      <c r="N463" s="91">
        <f t="shared" si="61"/>
        <v>-3.109392469159886E-2</v>
      </c>
      <c r="O463" s="128">
        <f t="shared" si="60"/>
        <v>0</v>
      </c>
      <c r="P463" s="91">
        <f t="shared" si="62"/>
        <v>0</v>
      </c>
    </row>
    <row r="464" spans="1:16">
      <c r="E464" s="263" t="s">
        <v>46</v>
      </c>
      <c r="F464" s="128">
        <f>F459-F462-F463</f>
        <v>25528250</v>
      </c>
      <c r="G464" s="128">
        <f t="shared" ref="G464:J464" si="64">G459-G462-G463</f>
        <v>0</v>
      </c>
      <c r="H464" s="128">
        <f t="shared" si="64"/>
        <v>941516</v>
      </c>
      <c r="I464" s="128">
        <f>I459-I462-I463</f>
        <v>736001</v>
      </c>
      <c r="J464" s="128">
        <f t="shared" si="64"/>
        <v>1044078</v>
      </c>
      <c r="K464" s="128">
        <f t="shared" si="58"/>
        <v>28249845</v>
      </c>
      <c r="L464" s="128">
        <f>L459-L462-L463</f>
        <v>27771268</v>
      </c>
      <c r="M464" s="128">
        <f t="shared" si="59"/>
        <v>2243018</v>
      </c>
      <c r="N464" s="91">
        <f t="shared" si="61"/>
        <v>8.7864150499936344E-2</v>
      </c>
      <c r="O464" s="128">
        <f t="shared" si="60"/>
        <v>-478577</v>
      </c>
      <c r="P464" s="91">
        <f t="shared" si="62"/>
        <v>-1.694087171097753E-2</v>
      </c>
    </row>
    <row r="465" spans="1:16" s="10" customFormat="1">
      <c r="A465" s="135"/>
      <c r="B465" s="135"/>
      <c r="C465" s="482"/>
      <c r="D465" s="482"/>
      <c r="E465" s="264" t="s">
        <v>718</v>
      </c>
      <c r="F465" s="129">
        <f>F469+F477+F484+F491+F498+F505+F514+F522+F546+F555+F572+F558</f>
        <v>10813209</v>
      </c>
      <c r="G465" s="129">
        <f>G469+G477+G484+G491+G498+G505+G514+G522+G546+G555+G572+G558</f>
        <v>0</v>
      </c>
      <c r="H465" s="129">
        <f>H469+H477+H484+H491+H498+H505+H514+H522+H546+H555+H572+H558</f>
        <v>35112</v>
      </c>
      <c r="I465" s="129">
        <f>I469+I477+I484+I491+I498+I514+I505+I522+I546+I555+I558+I572</f>
        <v>-56272</v>
      </c>
      <c r="J465" s="129">
        <f>J469+J477+J484+J491+J498+J505+J514+J522+J546+J555+J572+J558</f>
        <v>780321</v>
      </c>
      <c r="K465" s="129">
        <f t="shared" si="58"/>
        <v>11572370</v>
      </c>
      <c r="L465" s="129">
        <f>L469+L477+L484+L491+L498+L514+L505+L522+L546+L555+L558+L572</f>
        <v>11836882</v>
      </c>
      <c r="M465" s="129">
        <f t="shared" si="59"/>
        <v>1023673</v>
      </c>
      <c r="N465" s="265">
        <f t="shared" si="61"/>
        <v>9.466875189409546E-2</v>
      </c>
      <c r="O465" s="129">
        <f t="shared" si="60"/>
        <v>264512</v>
      </c>
      <c r="P465" s="265">
        <f t="shared" si="62"/>
        <v>2.2857202111581293E-2</v>
      </c>
    </row>
    <row r="466" spans="1:16">
      <c r="E466" s="263"/>
      <c r="F466" s="128"/>
      <c r="G466" s="135"/>
      <c r="H466" s="135"/>
      <c r="I466" s="128"/>
      <c r="J466" s="135"/>
      <c r="K466" s="128">
        <f t="shared" si="58"/>
        <v>0</v>
      </c>
      <c r="L466" s="128">
        <v>0</v>
      </c>
      <c r="M466" s="128">
        <f t="shared" si="59"/>
        <v>0</v>
      </c>
      <c r="N466" s="91"/>
      <c r="O466" s="128">
        <f t="shared" si="60"/>
        <v>0</v>
      </c>
      <c r="P466" s="91"/>
    </row>
    <row r="467" spans="1:16" ht="13.8">
      <c r="A467" s="77" t="s">
        <v>671</v>
      </c>
      <c r="B467" s="77" t="s">
        <v>601</v>
      </c>
      <c r="E467" s="344" t="s">
        <v>211</v>
      </c>
      <c r="F467" s="126">
        <f>F468</f>
        <v>553952</v>
      </c>
      <c r="G467" s="126">
        <f t="shared" ref="G467:J467" si="65">G468</f>
        <v>0</v>
      </c>
      <c r="H467" s="126">
        <f t="shared" si="65"/>
        <v>0</v>
      </c>
      <c r="I467" s="126">
        <f>I468</f>
        <v>10000</v>
      </c>
      <c r="J467" s="126">
        <f t="shared" si="65"/>
        <v>18398</v>
      </c>
      <c r="K467" s="126">
        <f t="shared" si="58"/>
        <v>582350</v>
      </c>
      <c r="L467" s="126">
        <f>L468</f>
        <v>584640</v>
      </c>
      <c r="M467" s="126">
        <f t="shared" si="59"/>
        <v>30688</v>
      </c>
      <c r="N467" s="313">
        <f t="shared" si="61"/>
        <v>5.539830165790538E-2</v>
      </c>
      <c r="O467" s="126">
        <f t="shared" si="60"/>
        <v>2290</v>
      </c>
      <c r="P467" s="313">
        <f t="shared" si="62"/>
        <v>3.9323430926418816E-3</v>
      </c>
    </row>
    <row r="468" spans="1:16">
      <c r="E468" s="363" t="s">
        <v>515</v>
      </c>
      <c r="F468" s="364">
        <v>553952</v>
      </c>
      <c r="G468" s="364">
        <f t="shared" ref="G468:J469" si="66">G472</f>
        <v>0</v>
      </c>
      <c r="H468" s="364">
        <f t="shared" si="66"/>
        <v>0</v>
      </c>
      <c r="I468" s="364">
        <f>I472</f>
        <v>10000</v>
      </c>
      <c r="J468" s="364">
        <f t="shared" si="66"/>
        <v>18398</v>
      </c>
      <c r="K468" s="364">
        <f t="shared" si="58"/>
        <v>582350</v>
      </c>
      <c r="L468" s="364">
        <f>L472</f>
        <v>584640</v>
      </c>
      <c r="M468" s="364">
        <f t="shared" si="59"/>
        <v>30688</v>
      </c>
      <c r="N468" s="160">
        <f t="shared" si="61"/>
        <v>5.539830165790538E-2</v>
      </c>
      <c r="O468" s="364">
        <f t="shared" si="60"/>
        <v>2290</v>
      </c>
      <c r="P468" s="160">
        <f t="shared" si="62"/>
        <v>3.9323430926418816E-3</v>
      </c>
    </row>
    <row r="469" spans="1:16">
      <c r="E469" s="132" t="s">
        <v>47</v>
      </c>
      <c r="F469" s="124">
        <v>283416</v>
      </c>
      <c r="G469" s="124">
        <f t="shared" si="66"/>
        <v>0</v>
      </c>
      <c r="H469" s="124">
        <f t="shared" si="66"/>
        <v>4500</v>
      </c>
      <c r="I469" s="124">
        <f>I473</f>
        <v>1800</v>
      </c>
      <c r="J469" s="124">
        <f t="shared" si="66"/>
        <v>13750</v>
      </c>
      <c r="K469" s="124">
        <f t="shared" si="58"/>
        <v>303466</v>
      </c>
      <c r="L469" s="124">
        <f>L473</f>
        <v>307956</v>
      </c>
      <c r="M469" s="124">
        <f t="shared" si="59"/>
        <v>24540</v>
      </c>
      <c r="N469" s="270">
        <f t="shared" si="61"/>
        <v>8.658650182064527E-2</v>
      </c>
      <c r="O469" s="124">
        <f t="shared" si="60"/>
        <v>4490</v>
      </c>
      <c r="P469" s="270">
        <f t="shared" si="62"/>
        <v>1.4795726704144781E-2</v>
      </c>
    </row>
    <row r="470" spans="1:16">
      <c r="E470" s="339"/>
      <c r="F470" s="123"/>
      <c r="G470" s="135"/>
      <c r="H470" s="135"/>
      <c r="I470" s="136"/>
      <c r="J470" s="135"/>
      <c r="K470" s="124">
        <f t="shared" si="58"/>
        <v>0</v>
      </c>
      <c r="L470" s="123">
        <v>0</v>
      </c>
      <c r="M470" s="123">
        <f t="shared" si="59"/>
        <v>0</v>
      </c>
      <c r="N470" s="160"/>
      <c r="O470" s="123">
        <f t="shared" si="60"/>
        <v>0</v>
      </c>
      <c r="P470" s="160"/>
    </row>
    <row r="471" spans="1:16">
      <c r="E471" s="348" t="s">
        <v>859</v>
      </c>
      <c r="F471" s="123"/>
      <c r="G471" s="135"/>
      <c r="H471" s="135"/>
      <c r="I471" s="136"/>
      <c r="J471" s="135"/>
      <c r="K471" s="124">
        <f t="shared" si="58"/>
        <v>0</v>
      </c>
      <c r="L471" s="123">
        <v>0</v>
      </c>
      <c r="M471" s="123">
        <f t="shared" si="59"/>
        <v>0</v>
      </c>
      <c r="N471" s="160"/>
      <c r="O471" s="123">
        <f t="shared" si="60"/>
        <v>0</v>
      </c>
      <c r="P471" s="160"/>
    </row>
    <row r="472" spans="1:16">
      <c r="C472" s="537" t="s">
        <v>957</v>
      </c>
      <c r="D472" s="537" t="s">
        <v>1014</v>
      </c>
      <c r="E472" s="349" t="s">
        <v>870</v>
      </c>
      <c r="F472" s="510">
        <v>553952</v>
      </c>
      <c r="G472" s="510"/>
      <c r="H472" s="510"/>
      <c r="I472" s="510">
        <v>10000</v>
      </c>
      <c r="J472" s="510">
        <v>18398</v>
      </c>
      <c r="K472" s="510">
        <f t="shared" si="58"/>
        <v>582350</v>
      </c>
      <c r="L472" s="510">
        <v>584640</v>
      </c>
      <c r="M472" s="510">
        <f t="shared" si="59"/>
        <v>30688</v>
      </c>
      <c r="N472" s="157">
        <f t="shared" si="61"/>
        <v>5.539830165790538E-2</v>
      </c>
      <c r="O472" s="510">
        <f t="shared" si="60"/>
        <v>2290</v>
      </c>
      <c r="P472" s="157">
        <f t="shared" si="62"/>
        <v>3.9323430926418816E-3</v>
      </c>
    </row>
    <row r="473" spans="1:16">
      <c r="E473" s="350" t="s">
        <v>47</v>
      </c>
      <c r="F473" s="124">
        <v>283416</v>
      </c>
      <c r="G473" s="124"/>
      <c r="H473" s="124">
        <v>4500</v>
      </c>
      <c r="I473" s="124">
        <v>1800</v>
      </c>
      <c r="J473" s="124">
        <v>13750</v>
      </c>
      <c r="K473" s="124">
        <f t="shared" si="58"/>
        <v>303466</v>
      </c>
      <c r="L473" s="124">
        <v>307956</v>
      </c>
      <c r="M473" s="124">
        <f t="shared" si="59"/>
        <v>24540</v>
      </c>
      <c r="N473" s="270">
        <f t="shared" si="61"/>
        <v>8.658650182064527E-2</v>
      </c>
      <c r="O473" s="124">
        <f t="shared" si="60"/>
        <v>4490</v>
      </c>
      <c r="P473" s="270">
        <f t="shared" si="62"/>
        <v>1.4795726704144781E-2</v>
      </c>
    </row>
    <row r="474" spans="1:16">
      <c r="E474" s="339"/>
      <c r="F474" s="123"/>
      <c r="G474" s="135"/>
      <c r="H474" s="135"/>
      <c r="I474" s="136"/>
      <c r="J474" s="135"/>
      <c r="K474" s="124">
        <f t="shared" si="58"/>
        <v>0</v>
      </c>
      <c r="L474" s="123">
        <v>0</v>
      </c>
      <c r="M474" s="123">
        <f t="shared" si="59"/>
        <v>0</v>
      </c>
      <c r="N474" s="160"/>
      <c r="O474" s="123">
        <f t="shared" si="60"/>
        <v>0</v>
      </c>
      <c r="P474" s="160"/>
    </row>
    <row r="475" spans="1:16" ht="13.8">
      <c r="A475" s="77" t="s">
        <v>672</v>
      </c>
      <c r="B475" s="77" t="s">
        <v>601</v>
      </c>
      <c r="E475" s="365" t="s">
        <v>103</v>
      </c>
      <c r="F475" s="366">
        <f>F476+F483+F490+F497+F504+F513</f>
        <v>12215473</v>
      </c>
      <c r="G475" s="366">
        <f>G476+G483+G490+G497+G504+G513</f>
        <v>0</v>
      </c>
      <c r="H475" s="366">
        <f>H476+H483+H490+H497+H504+H513</f>
        <v>94191</v>
      </c>
      <c r="I475" s="366">
        <f>I476+I483+I490+I497+I504+I513</f>
        <v>164365</v>
      </c>
      <c r="J475" s="366">
        <f>J476+J483+J490+J497+J504+J513</f>
        <v>660311</v>
      </c>
      <c r="K475" s="366">
        <f t="shared" si="58"/>
        <v>13134340</v>
      </c>
      <c r="L475" s="366">
        <f>L476+L483+L490+L497+L504+L513</f>
        <v>13117785</v>
      </c>
      <c r="M475" s="366">
        <f t="shared" si="59"/>
        <v>902312</v>
      </c>
      <c r="N475" s="313">
        <f t="shared" si="61"/>
        <v>7.3866316924444925E-2</v>
      </c>
      <c r="O475" s="366">
        <f t="shared" si="60"/>
        <v>-16555</v>
      </c>
      <c r="P475" s="313">
        <f t="shared" si="62"/>
        <v>-1.2604363827950244E-3</v>
      </c>
    </row>
    <row r="476" spans="1:16">
      <c r="E476" s="363" t="s">
        <v>509</v>
      </c>
      <c r="F476" s="364">
        <v>3768097</v>
      </c>
      <c r="G476" s="364">
        <f t="shared" ref="G476:J477" si="67">G480</f>
        <v>0</v>
      </c>
      <c r="H476" s="364">
        <f t="shared" si="67"/>
        <v>14600</v>
      </c>
      <c r="I476" s="364">
        <f t="shared" si="67"/>
        <v>6105</v>
      </c>
      <c r="J476" s="364">
        <f t="shared" si="67"/>
        <v>225265</v>
      </c>
      <c r="K476" s="364">
        <f t="shared" si="58"/>
        <v>4014067</v>
      </c>
      <c r="L476" s="364">
        <f t="shared" ref="L476" si="68">L480</f>
        <v>4018366</v>
      </c>
      <c r="M476" s="364">
        <f t="shared" si="59"/>
        <v>250269</v>
      </c>
      <c r="N476" s="160">
        <f t="shared" si="61"/>
        <v>6.6417876185246819E-2</v>
      </c>
      <c r="O476" s="364">
        <f t="shared" si="60"/>
        <v>4299</v>
      </c>
      <c r="P476" s="160">
        <f t="shared" si="62"/>
        <v>1.0709836183601319E-3</v>
      </c>
    </row>
    <row r="477" spans="1:16">
      <c r="E477" s="132" t="s">
        <v>47</v>
      </c>
      <c r="F477" s="124">
        <v>2192502</v>
      </c>
      <c r="G477" s="124">
        <f t="shared" si="67"/>
        <v>0</v>
      </c>
      <c r="H477" s="124">
        <f t="shared" si="67"/>
        <v>0</v>
      </c>
      <c r="I477" s="124">
        <f>I481</f>
        <v>0</v>
      </c>
      <c r="J477" s="124">
        <f t="shared" si="67"/>
        <v>168359</v>
      </c>
      <c r="K477" s="124">
        <f t="shared" si="58"/>
        <v>2360861</v>
      </c>
      <c r="L477" s="124">
        <f>L481</f>
        <v>2384800</v>
      </c>
      <c r="M477" s="124">
        <f t="shared" si="59"/>
        <v>192298</v>
      </c>
      <c r="N477" s="270">
        <f t="shared" si="61"/>
        <v>8.7707103573907805E-2</v>
      </c>
      <c r="O477" s="124">
        <f t="shared" si="60"/>
        <v>23939</v>
      </c>
      <c r="P477" s="270">
        <f t="shared" si="62"/>
        <v>1.0139944706613392E-2</v>
      </c>
    </row>
    <row r="478" spans="1:16">
      <c r="E478" s="367"/>
      <c r="F478" s="353"/>
      <c r="G478" s="135"/>
      <c r="H478" s="135"/>
      <c r="I478" s="136"/>
      <c r="J478" s="135"/>
      <c r="K478" s="124">
        <f t="shared" si="58"/>
        <v>0</v>
      </c>
      <c r="L478" s="353">
        <v>0</v>
      </c>
      <c r="M478" s="353">
        <f t="shared" si="59"/>
        <v>0</v>
      </c>
      <c r="N478" s="287"/>
      <c r="O478" s="353">
        <f t="shared" si="60"/>
        <v>0</v>
      </c>
      <c r="P478" s="287"/>
    </row>
    <row r="479" spans="1:16">
      <c r="E479" s="348" t="s">
        <v>859</v>
      </c>
      <c r="F479" s="353"/>
      <c r="G479" s="135"/>
      <c r="H479" s="135"/>
      <c r="I479" s="136"/>
      <c r="J479" s="135"/>
      <c r="K479" s="124">
        <f t="shared" si="58"/>
        <v>0</v>
      </c>
      <c r="L479" s="353">
        <v>0</v>
      </c>
      <c r="M479" s="353">
        <f t="shared" si="59"/>
        <v>0</v>
      </c>
      <c r="N479" s="287"/>
      <c r="O479" s="353">
        <f t="shared" si="60"/>
        <v>0</v>
      </c>
      <c r="P479" s="287"/>
    </row>
    <row r="480" spans="1:16">
      <c r="C480" s="537" t="s">
        <v>1001</v>
      </c>
      <c r="D480" s="537" t="s">
        <v>962</v>
      </c>
      <c r="E480" s="349" t="s">
        <v>871</v>
      </c>
      <c r="F480" s="510">
        <v>3768097</v>
      </c>
      <c r="G480" s="510"/>
      <c r="H480" s="510">
        <v>14600</v>
      </c>
      <c r="I480" s="510">
        <f>6000+105</f>
        <v>6105</v>
      </c>
      <c r="J480" s="510">
        <v>225265</v>
      </c>
      <c r="K480" s="510">
        <f t="shared" si="58"/>
        <v>4014067</v>
      </c>
      <c r="L480" s="510">
        <v>4018366</v>
      </c>
      <c r="M480" s="510">
        <f t="shared" si="59"/>
        <v>250269</v>
      </c>
      <c r="N480" s="157">
        <f t="shared" si="61"/>
        <v>6.6417876185246819E-2</v>
      </c>
      <c r="O480" s="510">
        <f t="shared" si="60"/>
        <v>4299</v>
      </c>
      <c r="P480" s="157">
        <f t="shared" si="62"/>
        <v>1.0709836183601319E-3</v>
      </c>
    </row>
    <row r="481" spans="3:16">
      <c r="E481" s="350" t="s">
        <v>47</v>
      </c>
      <c r="F481" s="124">
        <v>2192502</v>
      </c>
      <c r="G481" s="124"/>
      <c r="H481" s="124"/>
      <c r="I481" s="124"/>
      <c r="J481" s="124">
        <v>168359</v>
      </c>
      <c r="K481" s="124">
        <f t="shared" si="58"/>
        <v>2360861</v>
      </c>
      <c r="L481" s="124">
        <v>2384800</v>
      </c>
      <c r="M481" s="124">
        <f t="shared" si="59"/>
        <v>192298</v>
      </c>
      <c r="N481" s="270">
        <f t="shared" si="61"/>
        <v>8.7707103573907805E-2</v>
      </c>
      <c r="O481" s="124">
        <f t="shared" si="60"/>
        <v>23939</v>
      </c>
      <c r="P481" s="270">
        <f t="shared" si="62"/>
        <v>1.0139944706613392E-2</v>
      </c>
    </row>
    <row r="482" spans="3:16">
      <c r="E482" s="367"/>
      <c r="F482" s="353"/>
      <c r="G482" s="135"/>
      <c r="H482" s="135"/>
      <c r="I482" s="136"/>
      <c r="J482" s="135"/>
      <c r="K482" s="124">
        <f t="shared" si="58"/>
        <v>0</v>
      </c>
      <c r="L482" s="353">
        <v>0</v>
      </c>
      <c r="M482" s="353">
        <f t="shared" si="59"/>
        <v>0</v>
      </c>
      <c r="N482" s="287"/>
      <c r="O482" s="353">
        <f t="shared" si="60"/>
        <v>0</v>
      </c>
      <c r="P482" s="287"/>
    </row>
    <row r="483" spans="3:16">
      <c r="E483" s="368" t="s">
        <v>510</v>
      </c>
      <c r="F483" s="369">
        <v>813374</v>
      </c>
      <c r="G483" s="369">
        <f t="shared" ref="G483:J484" si="69">G487</f>
        <v>0</v>
      </c>
      <c r="H483" s="369">
        <f t="shared" si="69"/>
        <v>0</v>
      </c>
      <c r="I483" s="369">
        <f>I487</f>
        <v>9000</v>
      </c>
      <c r="J483" s="369">
        <f t="shared" si="69"/>
        <v>29000</v>
      </c>
      <c r="K483" s="369">
        <f t="shared" si="58"/>
        <v>851374</v>
      </c>
      <c r="L483" s="369">
        <f>L487</f>
        <v>847371</v>
      </c>
      <c r="M483" s="369">
        <f t="shared" si="59"/>
        <v>33997</v>
      </c>
      <c r="N483" s="370">
        <f t="shared" si="61"/>
        <v>4.179750028891998E-2</v>
      </c>
      <c r="O483" s="369">
        <f t="shared" si="60"/>
        <v>-4003</v>
      </c>
      <c r="P483" s="370">
        <f t="shared" si="62"/>
        <v>-4.7018114248262221E-3</v>
      </c>
    </row>
    <row r="484" spans="3:16">
      <c r="E484" s="132" t="s">
        <v>47</v>
      </c>
      <c r="F484" s="124">
        <v>436920</v>
      </c>
      <c r="G484" s="124">
        <f t="shared" si="69"/>
        <v>0</v>
      </c>
      <c r="H484" s="124">
        <f t="shared" si="69"/>
        <v>0</v>
      </c>
      <c r="I484" s="124">
        <f>I488</f>
        <v>-12000</v>
      </c>
      <c r="J484" s="124">
        <f t="shared" si="69"/>
        <v>21674</v>
      </c>
      <c r="K484" s="124">
        <f t="shared" si="58"/>
        <v>446594</v>
      </c>
      <c r="L484" s="124">
        <f>L488</f>
        <v>462062</v>
      </c>
      <c r="M484" s="124">
        <f t="shared" si="59"/>
        <v>25142</v>
      </c>
      <c r="N484" s="270">
        <f t="shared" si="61"/>
        <v>5.7543715096585187E-2</v>
      </c>
      <c r="O484" s="124">
        <f t="shared" si="60"/>
        <v>15468</v>
      </c>
      <c r="P484" s="270">
        <f t="shared" si="62"/>
        <v>3.463548547450257E-2</v>
      </c>
    </row>
    <row r="485" spans="3:16">
      <c r="E485" s="367"/>
      <c r="F485" s="353"/>
      <c r="G485" s="135"/>
      <c r="H485" s="135"/>
      <c r="I485" s="136"/>
      <c r="J485" s="135"/>
      <c r="K485" s="124">
        <f t="shared" si="58"/>
        <v>0</v>
      </c>
      <c r="L485" s="353">
        <v>0</v>
      </c>
      <c r="M485" s="353">
        <f t="shared" si="59"/>
        <v>0</v>
      </c>
      <c r="N485" s="287"/>
      <c r="O485" s="353">
        <f t="shared" si="60"/>
        <v>0</v>
      </c>
      <c r="P485" s="287"/>
    </row>
    <row r="486" spans="3:16">
      <c r="E486" s="348" t="s">
        <v>859</v>
      </c>
      <c r="F486" s="353"/>
      <c r="G486" s="135"/>
      <c r="H486" s="135"/>
      <c r="I486" s="136"/>
      <c r="J486" s="135"/>
      <c r="K486" s="124">
        <f t="shared" si="58"/>
        <v>0</v>
      </c>
      <c r="L486" s="353">
        <v>0</v>
      </c>
      <c r="M486" s="353">
        <f t="shared" si="59"/>
        <v>0</v>
      </c>
      <c r="N486" s="287"/>
      <c r="O486" s="353">
        <f t="shared" si="60"/>
        <v>0</v>
      </c>
      <c r="P486" s="287"/>
    </row>
    <row r="487" spans="3:16">
      <c r="C487" s="537" t="s">
        <v>1001</v>
      </c>
      <c r="D487" s="537" t="s">
        <v>977</v>
      </c>
      <c r="E487" s="349" t="s">
        <v>872</v>
      </c>
      <c r="F487" s="511">
        <v>813374</v>
      </c>
      <c r="G487" s="511"/>
      <c r="H487" s="511"/>
      <c r="I487" s="511">
        <v>9000</v>
      </c>
      <c r="J487" s="511">
        <v>29000</v>
      </c>
      <c r="K487" s="511">
        <f t="shared" si="58"/>
        <v>851374</v>
      </c>
      <c r="L487" s="511">
        <v>847371</v>
      </c>
      <c r="M487" s="511">
        <f t="shared" si="59"/>
        <v>33997</v>
      </c>
      <c r="N487" s="282">
        <f t="shared" si="61"/>
        <v>4.179750028891998E-2</v>
      </c>
      <c r="O487" s="511">
        <f t="shared" si="60"/>
        <v>-4003</v>
      </c>
      <c r="P487" s="282">
        <f t="shared" si="62"/>
        <v>-4.7018114248262221E-3</v>
      </c>
    </row>
    <row r="488" spans="3:16">
      <c r="E488" s="350" t="s">
        <v>47</v>
      </c>
      <c r="F488" s="124">
        <v>436920</v>
      </c>
      <c r="G488" s="124"/>
      <c r="H488" s="124"/>
      <c r="I488" s="124">
        <v>-12000</v>
      </c>
      <c r="J488" s="124">
        <v>21674</v>
      </c>
      <c r="K488" s="124">
        <f t="shared" si="58"/>
        <v>446594</v>
      </c>
      <c r="L488" s="124">
        <v>462062</v>
      </c>
      <c r="M488" s="124">
        <f t="shared" si="59"/>
        <v>25142</v>
      </c>
      <c r="N488" s="270">
        <f t="shared" si="61"/>
        <v>5.7543715096585187E-2</v>
      </c>
      <c r="O488" s="124">
        <f t="shared" si="60"/>
        <v>15468</v>
      </c>
      <c r="P488" s="270">
        <f t="shared" si="62"/>
        <v>3.463548547450257E-2</v>
      </c>
    </row>
    <row r="489" spans="3:16">
      <c r="E489" s="371"/>
      <c r="F489" s="353"/>
      <c r="G489" s="135"/>
      <c r="H489" s="135"/>
      <c r="I489" s="136"/>
      <c r="J489" s="135"/>
      <c r="K489" s="353">
        <f t="shared" si="58"/>
        <v>0</v>
      </c>
      <c r="L489" s="353">
        <v>0</v>
      </c>
      <c r="M489" s="353">
        <f t="shared" si="59"/>
        <v>0</v>
      </c>
      <c r="N489" s="287"/>
      <c r="O489" s="353">
        <f t="shared" si="60"/>
        <v>0</v>
      </c>
      <c r="P489" s="287"/>
    </row>
    <row r="490" spans="3:16">
      <c r="E490" s="363" t="s">
        <v>511</v>
      </c>
      <c r="F490" s="364">
        <v>2390124</v>
      </c>
      <c r="G490" s="364">
        <f t="shared" ref="G490:J491" si="70">G494</f>
        <v>0</v>
      </c>
      <c r="H490" s="364">
        <f t="shared" si="70"/>
        <v>18761</v>
      </c>
      <c r="I490" s="364">
        <f>I494</f>
        <v>-200</v>
      </c>
      <c r="J490" s="364">
        <f t="shared" si="70"/>
        <v>141463</v>
      </c>
      <c r="K490" s="364">
        <f t="shared" si="58"/>
        <v>2550148</v>
      </c>
      <c r="L490" s="364">
        <f>L494</f>
        <v>2566956</v>
      </c>
      <c r="M490" s="364">
        <f t="shared" si="59"/>
        <v>176832</v>
      </c>
      <c r="N490" s="160">
        <f t="shared" si="61"/>
        <v>7.3984445995270542E-2</v>
      </c>
      <c r="O490" s="364">
        <f t="shared" si="60"/>
        <v>16808</v>
      </c>
      <c r="P490" s="160">
        <f t="shared" si="62"/>
        <v>6.5909900131286498E-3</v>
      </c>
    </row>
    <row r="491" spans="3:16">
      <c r="E491" s="132" t="s">
        <v>47</v>
      </c>
      <c r="F491" s="124">
        <v>1323017</v>
      </c>
      <c r="G491" s="124">
        <f t="shared" si="70"/>
        <v>0</v>
      </c>
      <c r="H491" s="124">
        <f t="shared" si="70"/>
        <v>7803</v>
      </c>
      <c r="I491" s="124">
        <f>I495</f>
        <v>0</v>
      </c>
      <c r="J491" s="124">
        <f t="shared" si="70"/>
        <v>105727</v>
      </c>
      <c r="K491" s="124">
        <f t="shared" si="58"/>
        <v>1436547</v>
      </c>
      <c r="L491" s="124">
        <f>L495</f>
        <v>1469418</v>
      </c>
      <c r="M491" s="124">
        <f t="shared" si="59"/>
        <v>146401</v>
      </c>
      <c r="N491" s="270">
        <f t="shared" si="61"/>
        <v>0.11065693033422851</v>
      </c>
      <c r="O491" s="124">
        <f t="shared" si="60"/>
        <v>32871</v>
      </c>
      <c r="P491" s="270">
        <f t="shared" si="62"/>
        <v>2.2881952348235039E-2</v>
      </c>
    </row>
    <row r="492" spans="3:16">
      <c r="E492" s="367"/>
      <c r="F492" s="353"/>
      <c r="G492" s="135"/>
      <c r="H492" s="135"/>
      <c r="I492" s="353"/>
      <c r="J492" s="135"/>
      <c r="K492" s="124">
        <f t="shared" si="58"/>
        <v>0</v>
      </c>
      <c r="L492" s="353">
        <v>0</v>
      </c>
      <c r="M492" s="353">
        <f t="shared" si="59"/>
        <v>0</v>
      </c>
      <c r="N492" s="287"/>
      <c r="O492" s="353">
        <f t="shared" si="60"/>
        <v>0</v>
      </c>
      <c r="P492" s="287"/>
    </row>
    <row r="493" spans="3:16">
      <c r="E493" s="348" t="s">
        <v>859</v>
      </c>
      <c r="F493" s="353"/>
      <c r="G493" s="135"/>
      <c r="H493" s="135"/>
      <c r="I493" s="353"/>
      <c r="J493" s="135"/>
      <c r="K493" s="124">
        <f t="shared" si="58"/>
        <v>0</v>
      </c>
      <c r="L493" s="353">
        <v>0</v>
      </c>
      <c r="M493" s="353">
        <f t="shared" si="59"/>
        <v>0</v>
      </c>
      <c r="N493" s="287"/>
      <c r="O493" s="353">
        <f t="shared" si="60"/>
        <v>0</v>
      </c>
      <c r="P493" s="287"/>
    </row>
    <row r="494" spans="3:16">
      <c r="C494" s="537" t="s">
        <v>1001</v>
      </c>
      <c r="D494" s="537" t="s">
        <v>962</v>
      </c>
      <c r="E494" s="349" t="s">
        <v>873</v>
      </c>
      <c r="F494" s="510">
        <v>2390124</v>
      </c>
      <c r="G494" s="510"/>
      <c r="H494" s="510">
        <v>18761</v>
      </c>
      <c r="I494" s="510">
        <v>-200</v>
      </c>
      <c r="J494" s="510">
        <v>141463</v>
      </c>
      <c r="K494" s="510">
        <f t="shared" si="58"/>
        <v>2550148</v>
      </c>
      <c r="L494" s="510">
        <v>2566956</v>
      </c>
      <c r="M494" s="510">
        <f t="shared" si="59"/>
        <v>176832</v>
      </c>
      <c r="N494" s="157">
        <f t="shared" si="61"/>
        <v>7.3984445995270542E-2</v>
      </c>
      <c r="O494" s="510">
        <f t="shared" si="60"/>
        <v>16808</v>
      </c>
      <c r="P494" s="157">
        <f t="shared" si="62"/>
        <v>6.5909900131286498E-3</v>
      </c>
    </row>
    <row r="495" spans="3:16">
      <c r="E495" s="350" t="s">
        <v>47</v>
      </c>
      <c r="F495" s="124">
        <v>1323017</v>
      </c>
      <c r="G495" s="124"/>
      <c r="H495" s="124">
        <v>7803</v>
      </c>
      <c r="I495" s="124"/>
      <c r="J495" s="124">
        <v>105727</v>
      </c>
      <c r="K495" s="124">
        <f t="shared" si="58"/>
        <v>1436547</v>
      </c>
      <c r="L495" s="124">
        <v>1469418</v>
      </c>
      <c r="M495" s="124">
        <f t="shared" si="59"/>
        <v>146401</v>
      </c>
      <c r="N495" s="270">
        <f t="shared" si="61"/>
        <v>0.11065693033422851</v>
      </c>
      <c r="O495" s="124">
        <f t="shared" si="60"/>
        <v>32871</v>
      </c>
      <c r="P495" s="270">
        <f t="shared" si="62"/>
        <v>2.2881952348235039E-2</v>
      </c>
    </row>
    <row r="496" spans="3:16">
      <c r="E496" s="367"/>
      <c r="F496" s="353"/>
      <c r="G496" s="135"/>
      <c r="H496" s="135"/>
      <c r="I496" s="136"/>
      <c r="J496" s="135"/>
      <c r="K496" s="124">
        <f t="shared" si="58"/>
        <v>0</v>
      </c>
      <c r="L496" s="353">
        <v>0</v>
      </c>
      <c r="M496" s="353">
        <f t="shared" si="59"/>
        <v>0</v>
      </c>
      <c r="N496" s="287"/>
      <c r="O496" s="353">
        <f t="shared" si="60"/>
        <v>0</v>
      </c>
      <c r="P496" s="287"/>
    </row>
    <row r="497" spans="3:16">
      <c r="E497" s="363" t="s">
        <v>512</v>
      </c>
      <c r="F497" s="364">
        <v>231093</v>
      </c>
      <c r="G497" s="364">
        <f t="shared" ref="G497:J498" si="71">G501</f>
        <v>0</v>
      </c>
      <c r="H497" s="364">
        <f t="shared" si="71"/>
        <v>16430</v>
      </c>
      <c r="I497" s="364">
        <f>I501</f>
        <v>7060</v>
      </c>
      <c r="J497" s="364">
        <f t="shared" si="71"/>
        <v>11561</v>
      </c>
      <c r="K497" s="364">
        <f t="shared" si="58"/>
        <v>266144</v>
      </c>
      <c r="L497" s="364">
        <f>L501</f>
        <v>250996</v>
      </c>
      <c r="M497" s="364">
        <f t="shared" si="59"/>
        <v>19903</v>
      </c>
      <c r="N497" s="160">
        <f t="shared" si="61"/>
        <v>8.6125499257874535E-2</v>
      </c>
      <c r="O497" s="364">
        <f t="shared" si="60"/>
        <v>-15148</v>
      </c>
      <c r="P497" s="160">
        <f t="shared" si="62"/>
        <v>-5.6916556450643259E-2</v>
      </c>
    </row>
    <row r="498" spans="3:16">
      <c r="E498" s="132" t="s">
        <v>47</v>
      </c>
      <c r="F498" s="124">
        <v>115323</v>
      </c>
      <c r="G498" s="124">
        <f t="shared" si="71"/>
        <v>0</v>
      </c>
      <c r="H498" s="124">
        <f t="shared" si="71"/>
        <v>0</v>
      </c>
      <c r="I498" s="124">
        <f>I502</f>
        <v>0</v>
      </c>
      <c r="J498" s="124">
        <f t="shared" si="71"/>
        <v>8640</v>
      </c>
      <c r="K498" s="124">
        <f t="shared" si="58"/>
        <v>123963</v>
      </c>
      <c r="L498" s="124">
        <f>L502</f>
        <v>129009</v>
      </c>
      <c r="M498" s="124">
        <f t="shared" si="59"/>
        <v>13686</v>
      </c>
      <c r="N498" s="270">
        <f t="shared" si="61"/>
        <v>0.11867537264899457</v>
      </c>
      <c r="O498" s="124">
        <f t="shared" si="60"/>
        <v>5046</v>
      </c>
      <c r="P498" s="270">
        <f t="shared" si="62"/>
        <v>4.0705694441083226E-2</v>
      </c>
    </row>
    <row r="499" spans="3:16">
      <c r="E499" s="367"/>
      <c r="F499" s="353"/>
      <c r="G499" s="135"/>
      <c r="H499" s="135"/>
      <c r="I499" s="136"/>
      <c r="J499" s="135"/>
      <c r="K499" s="124">
        <f t="shared" si="58"/>
        <v>0</v>
      </c>
      <c r="L499" s="353">
        <v>0</v>
      </c>
      <c r="M499" s="353">
        <f t="shared" si="59"/>
        <v>0</v>
      </c>
      <c r="N499" s="287"/>
      <c r="O499" s="353">
        <f t="shared" si="60"/>
        <v>0</v>
      </c>
      <c r="P499" s="287"/>
    </row>
    <row r="500" spans="3:16">
      <c r="E500" s="348" t="s">
        <v>859</v>
      </c>
      <c r="F500" s="353"/>
      <c r="G500" s="135"/>
      <c r="H500" s="135"/>
      <c r="I500" s="136"/>
      <c r="J500" s="135"/>
      <c r="K500" s="124">
        <f t="shared" si="58"/>
        <v>0</v>
      </c>
      <c r="L500" s="353">
        <v>0</v>
      </c>
      <c r="M500" s="353">
        <f t="shared" si="59"/>
        <v>0</v>
      </c>
      <c r="N500" s="287"/>
      <c r="O500" s="353">
        <f t="shared" si="60"/>
        <v>0</v>
      </c>
      <c r="P500" s="287"/>
    </row>
    <row r="501" spans="3:16">
      <c r="C501" s="537" t="s">
        <v>1001</v>
      </c>
      <c r="D501" s="537" t="s">
        <v>962</v>
      </c>
      <c r="E501" s="349" t="s">
        <v>874</v>
      </c>
      <c r="F501" s="510">
        <v>231093</v>
      </c>
      <c r="G501" s="510"/>
      <c r="H501" s="510">
        <v>16430</v>
      </c>
      <c r="I501" s="510">
        <v>7060</v>
      </c>
      <c r="J501" s="510">
        <v>11561</v>
      </c>
      <c r="K501" s="510">
        <f t="shared" si="58"/>
        <v>266144</v>
      </c>
      <c r="L501" s="510">
        <v>250996</v>
      </c>
      <c r="M501" s="510">
        <f t="shared" si="59"/>
        <v>19903</v>
      </c>
      <c r="N501" s="157">
        <f t="shared" si="61"/>
        <v>8.6125499257874535E-2</v>
      </c>
      <c r="O501" s="510">
        <f t="shared" si="60"/>
        <v>-15148</v>
      </c>
      <c r="P501" s="157">
        <f t="shared" si="62"/>
        <v>-5.6916556450643259E-2</v>
      </c>
    </row>
    <row r="502" spans="3:16">
      <c r="E502" s="350" t="s">
        <v>47</v>
      </c>
      <c r="F502" s="124">
        <v>115323</v>
      </c>
      <c r="G502" s="124"/>
      <c r="H502" s="124"/>
      <c r="I502" s="124"/>
      <c r="J502" s="124">
        <v>8640</v>
      </c>
      <c r="K502" s="124">
        <f t="shared" si="58"/>
        <v>123963</v>
      </c>
      <c r="L502" s="124">
        <v>129009</v>
      </c>
      <c r="M502" s="124">
        <f t="shared" si="59"/>
        <v>13686</v>
      </c>
      <c r="N502" s="270">
        <f t="shared" si="61"/>
        <v>0.11867537264899457</v>
      </c>
      <c r="O502" s="124">
        <f t="shared" si="60"/>
        <v>5046</v>
      </c>
      <c r="P502" s="270">
        <f t="shared" si="62"/>
        <v>4.0705694441083226E-2</v>
      </c>
    </row>
    <row r="503" spans="3:16">
      <c r="E503" s="367"/>
      <c r="F503" s="353"/>
      <c r="G503" s="135"/>
      <c r="H503" s="135"/>
      <c r="I503" s="136"/>
      <c r="J503" s="135"/>
      <c r="K503" s="124">
        <f t="shared" si="58"/>
        <v>0</v>
      </c>
      <c r="L503" s="353">
        <v>0</v>
      </c>
      <c r="M503" s="353">
        <f t="shared" si="59"/>
        <v>0</v>
      </c>
      <c r="N503" s="287"/>
      <c r="O503" s="353">
        <f t="shared" si="60"/>
        <v>0</v>
      </c>
      <c r="P503" s="287"/>
    </row>
    <row r="504" spans="3:16">
      <c r="E504" s="363" t="s">
        <v>513</v>
      </c>
      <c r="F504" s="364">
        <v>3860023</v>
      </c>
      <c r="G504" s="364">
        <f t="shared" ref="G504:J505" si="72">G508</f>
        <v>0</v>
      </c>
      <c r="H504" s="364">
        <f t="shared" si="72"/>
        <v>44400</v>
      </c>
      <c r="I504" s="364">
        <f>I508</f>
        <v>142400</v>
      </c>
      <c r="J504" s="364">
        <f t="shared" si="72"/>
        <v>175732</v>
      </c>
      <c r="K504" s="364">
        <f t="shared" si="58"/>
        <v>4222555</v>
      </c>
      <c r="L504" s="364">
        <f>L508</f>
        <v>4180077</v>
      </c>
      <c r="M504" s="364">
        <f t="shared" si="59"/>
        <v>320054</v>
      </c>
      <c r="N504" s="160">
        <f t="shared" si="61"/>
        <v>8.2915049988044109E-2</v>
      </c>
      <c r="O504" s="364">
        <f t="shared" si="60"/>
        <v>-42478</v>
      </c>
      <c r="P504" s="160">
        <f t="shared" si="62"/>
        <v>-1.0059786077386796E-2</v>
      </c>
    </row>
    <row r="505" spans="3:16">
      <c r="E505" s="132" t="s">
        <v>47</v>
      </c>
      <c r="F505" s="124">
        <v>1987403</v>
      </c>
      <c r="G505" s="124">
        <f t="shared" si="72"/>
        <v>0</v>
      </c>
      <c r="H505" s="124">
        <f t="shared" si="72"/>
        <v>30000</v>
      </c>
      <c r="I505" s="124">
        <f>I509</f>
        <v>70000</v>
      </c>
      <c r="J505" s="124">
        <f t="shared" si="72"/>
        <v>131339</v>
      </c>
      <c r="K505" s="124">
        <f t="shared" si="58"/>
        <v>2218742</v>
      </c>
      <c r="L505" s="124">
        <f>L509</f>
        <v>2220499</v>
      </c>
      <c r="M505" s="124">
        <f t="shared" si="59"/>
        <v>233096</v>
      </c>
      <c r="N505" s="270">
        <f t="shared" si="61"/>
        <v>0.11728673047187711</v>
      </c>
      <c r="O505" s="124">
        <f t="shared" si="60"/>
        <v>1757</v>
      </c>
      <c r="P505" s="270">
        <f t="shared" si="62"/>
        <v>7.918901792096602E-4</v>
      </c>
    </row>
    <row r="506" spans="3:16">
      <c r="E506" s="297"/>
      <c r="F506" s="298"/>
      <c r="G506" s="135"/>
      <c r="H506" s="135"/>
      <c r="I506" s="136"/>
      <c r="J506" s="135"/>
      <c r="K506" s="298">
        <f t="shared" si="58"/>
        <v>0</v>
      </c>
      <c r="L506" s="298">
        <v>0</v>
      </c>
      <c r="M506" s="298">
        <f t="shared" si="59"/>
        <v>0</v>
      </c>
      <c r="N506" s="299"/>
      <c r="O506" s="298">
        <f t="shared" si="60"/>
        <v>0</v>
      </c>
      <c r="P506" s="299"/>
    </row>
    <row r="507" spans="3:16">
      <c r="E507" s="348" t="s">
        <v>859</v>
      </c>
      <c r="F507" s="298"/>
      <c r="G507" s="135"/>
      <c r="H507" s="135"/>
      <c r="I507" s="136"/>
      <c r="J507" s="135"/>
      <c r="K507" s="298">
        <f t="shared" si="58"/>
        <v>0</v>
      </c>
      <c r="L507" s="298">
        <v>0</v>
      </c>
      <c r="M507" s="298">
        <f t="shared" si="59"/>
        <v>0</v>
      </c>
      <c r="N507" s="299"/>
      <c r="O507" s="298">
        <f t="shared" si="60"/>
        <v>0</v>
      </c>
      <c r="P507" s="299"/>
    </row>
    <row r="508" spans="3:16">
      <c r="C508" s="537" t="s">
        <v>1001</v>
      </c>
      <c r="D508" s="537" t="s">
        <v>947</v>
      </c>
      <c r="E508" s="349" t="s">
        <v>875</v>
      </c>
      <c r="F508" s="510">
        <v>3860023</v>
      </c>
      <c r="G508" s="510"/>
      <c r="H508" s="510">
        <v>44400</v>
      </c>
      <c r="I508" s="510">
        <f>142000+400</f>
        <v>142400</v>
      </c>
      <c r="J508" s="510">
        <v>175732</v>
      </c>
      <c r="K508" s="510">
        <f t="shared" si="58"/>
        <v>4222555</v>
      </c>
      <c r="L508" s="510">
        <v>4180077</v>
      </c>
      <c r="M508" s="510">
        <f t="shared" si="59"/>
        <v>320054</v>
      </c>
      <c r="N508" s="157">
        <f t="shared" si="61"/>
        <v>8.2915049988044109E-2</v>
      </c>
      <c r="O508" s="510">
        <f t="shared" si="60"/>
        <v>-42478</v>
      </c>
      <c r="P508" s="157">
        <f t="shared" si="62"/>
        <v>-1.0059786077386796E-2</v>
      </c>
    </row>
    <row r="509" spans="3:16">
      <c r="E509" s="350" t="s">
        <v>47</v>
      </c>
      <c r="F509" s="124">
        <v>1987403</v>
      </c>
      <c r="G509" s="124"/>
      <c r="H509" s="124">
        <v>30000</v>
      </c>
      <c r="I509" s="124">
        <v>70000</v>
      </c>
      <c r="J509" s="124">
        <v>131339</v>
      </c>
      <c r="K509" s="124">
        <f t="shared" si="58"/>
        <v>2218742</v>
      </c>
      <c r="L509" s="124">
        <v>2220499</v>
      </c>
      <c r="M509" s="124">
        <f t="shared" si="59"/>
        <v>233096</v>
      </c>
      <c r="N509" s="270">
        <f t="shared" si="61"/>
        <v>0.11728673047187711</v>
      </c>
      <c r="O509" s="124">
        <f t="shared" si="60"/>
        <v>1757</v>
      </c>
      <c r="P509" s="270">
        <f t="shared" si="62"/>
        <v>7.918901792096602E-4</v>
      </c>
    </row>
    <row r="510" spans="3:16">
      <c r="E510" s="350"/>
      <c r="F510" s="124"/>
      <c r="G510" s="124"/>
      <c r="H510" s="124"/>
      <c r="I510" s="124"/>
      <c r="J510" s="124"/>
      <c r="K510" s="124">
        <f t="shared" si="58"/>
        <v>0</v>
      </c>
      <c r="L510" s="124">
        <v>0</v>
      </c>
      <c r="M510" s="124">
        <f t="shared" si="59"/>
        <v>0</v>
      </c>
      <c r="N510" s="270"/>
      <c r="O510" s="124">
        <f t="shared" si="60"/>
        <v>0</v>
      </c>
      <c r="P510" s="270"/>
    </row>
    <row r="511" spans="3:16">
      <c r="E511" s="307" t="s">
        <v>507</v>
      </c>
      <c r="F511" s="298">
        <v>953466</v>
      </c>
      <c r="G511" s="135"/>
      <c r="H511" s="298">
        <v>-29647</v>
      </c>
      <c r="I511" s="298"/>
      <c r="J511" s="298"/>
      <c r="K511" s="298">
        <f t="shared" si="58"/>
        <v>923819</v>
      </c>
      <c r="L511" s="298">
        <v>923819</v>
      </c>
      <c r="M511" s="298">
        <f t="shared" si="59"/>
        <v>-29647</v>
      </c>
      <c r="N511" s="299">
        <f t="shared" si="61"/>
        <v>-3.109392469159886E-2</v>
      </c>
      <c r="O511" s="298">
        <f t="shared" si="60"/>
        <v>0</v>
      </c>
      <c r="P511" s="299">
        <f t="shared" si="62"/>
        <v>0</v>
      </c>
    </row>
    <row r="512" spans="3:16">
      <c r="E512" s="307"/>
      <c r="F512" s="298"/>
      <c r="G512" s="135"/>
      <c r="H512" s="135"/>
      <c r="I512" s="136"/>
      <c r="J512" s="135"/>
      <c r="K512" s="298">
        <f t="shared" si="58"/>
        <v>0</v>
      </c>
      <c r="L512" s="298">
        <v>0</v>
      </c>
      <c r="M512" s="298">
        <f t="shared" si="59"/>
        <v>0</v>
      </c>
      <c r="N512" s="299"/>
      <c r="O512" s="298">
        <f t="shared" si="60"/>
        <v>0</v>
      </c>
      <c r="P512" s="299"/>
    </row>
    <row r="513" spans="1:16">
      <c r="E513" s="363" t="s">
        <v>514</v>
      </c>
      <c r="F513" s="364">
        <v>1152762</v>
      </c>
      <c r="G513" s="364">
        <f>G517</f>
        <v>0</v>
      </c>
      <c r="H513" s="364"/>
      <c r="I513" s="364">
        <f>I517</f>
        <v>0</v>
      </c>
      <c r="J513" s="364">
        <f>J517</f>
        <v>77290</v>
      </c>
      <c r="K513" s="364">
        <f t="shared" si="58"/>
        <v>1230052</v>
      </c>
      <c r="L513" s="364">
        <f>L517</f>
        <v>1254019</v>
      </c>
      <c r="M513" s="364">
        <f t="shared" si="59"/>
        <v>101257</v>
      </c>
      <c r="N513" s="160">
        <f t="shared" si="61"/>
        <v>8.783859981505289E-2</v>
      </c>
      <c r="O513" s="364">
        <f t="shared" si="60"/>
        <v>23967</v>
      </c>
      <c r="P513" s="160">
        <f t="shared" si="62"/>
        <v>1.9484542116918635E-2</v>
      </c>
    </row>
    <row r="514" spans="1:16">
      <c r="E514" s="132" t="s">
        <v>47</v>
      </c>
      <c r="F514" s="124">
        <v>658418</v>
      </c>
      <c r="G514" s="124">
        <f>G518</f>
        <v>0</v>
      </c>
      <c r="H514" s="124"/>
      <c r="I514" s="124">
        <f>I518</f>
        <v>-17748</v>
      </c>
      <c r="J514" s="124">
        <f>J518</f>
        <v>57765</v>
      </c>
      <c r="K514" s="124">
        <f t="shared" si="58"/>
        <v>698435</v>
      </c>
      <c r="L514" s="124">
        <f>L518</f>
        <v>709178</v>
      </c>
      <c r="M514" s="124">
        <f t="shared" si="59"/>
        <v>50760</v>
      </c>
      <c r="N514" s="270">
        <f t="shared" si="61"/>
        <v>7.7093882609527681E-2</v>
      </c>
      <c r="O514" s="124">
        <f t="shared" si="60"/>
        <v>10743</v>
      </c>
      <c r="P514" s="270">
        <f t="shared" si="62"/>
        <v>1.5381531567003372E-2</v>
      </c>
    </row>
    <row r="515" spans="1:16">
      <c r="E515" s="372"/>
      <c r="F515" s="373"/>
      <c r="G515" s="135"/>
      <c r="H515" s="135"/>
      <c r="I515" s="136"/>
      <c r="J515" s="135"/>
      <c r="K515" s="124">
        <f t="shared" si="58"/>
        <v>0</v>
      </c>
      <c r="L515" s="373">
        <v>0</v>
      </c>
      <c r="M515" s="373">
        <f t="shared" si="59"/>
        <v>0</v>
      </c>
      <c r="N515" s="160"/>
      <c r="O515" s="373">
        <f t="shared" si="60"/>
        <v>0</v>
      </c>
      <c r="P515" s="160"/>
    </row>
    <row r="516" spans="1:16">
      <c r="E516" s="348" t="s">
        <v>859</v>
      </c>
      <c r="F516" s="373"/>
      <c r="G516" s="135"/>
      <c r="H516" s="135"/>
      <c r="I516" s="136"/>
      <c r="J516" s="135"/>
      <c r="K516" s="124">
        <f t="shared" si="58"/>
        <v>0</v>
      </c>
      <c r="L516" s="373">
        <v>0</v>
      </c>
      <c r="M516" s="373">
        <f t="shared" si="59"/>
        <v>0</v>
      </c>
      <c r="N516" s="160"/>
      <c r="O516" s="373">
        <f t="shared" si="60"/>
        <v>0</v>
      </c>
      <c r="P516" s="160"/>
    </row>
    <row r="517" spans="1:16">
      <c r="C517" s="537" t="s">
        <v>1001</v>
      </c>
      <c r="D517" s="537" t="s">
        <v>947</v>
      </c>
      <c r="E517" s="349" t="s">
        <v>876</v>
      </c>
      <c r="F517" s="510">
        <v>1152762</v>
      </c>
      <c r="G517" s="510"/>
      <c r="H517" s="510"/>
      <c r="I517" s="10">
        <v>0</v>
      </c>
      <c r="J517" s="510">
        <v>77290</v>
      </c>
      <c r="K517" s="510">
        <f t="shared" si="58"/>
        <v>1230052</v>
      </c>
      <c r="L517" s="510">
        <v>1254019</v>
      </c>
      <c r="M517" s="510">
        <f t="shared" si="59"/>
        <v>101257</v>
      </c>
      <c r="N517" s="157">
        <f t="shared" si="61"/>
        <v>8.783859981505289E-2</v>
      </c>
      <c r="O517" s="510">
        <f t="shared" si="60"/>
        <v>23967</v>
      </c>
      <c r="P517" s="157">
        <f t="shared" si="62"/>
        <v>1.9484542116918635E-2</v>
      </c>
    </row>
    <row r="518" spans="1:16">
      <c r="E518" s="350" t="s">
        <v>47</v>
      </c>
      <c r="F518" s="124">
        <v>658418</v>
      </c>
      <c r="G518" s="124"/>
      <c r="H518" s="124"/>
      <c r="I518" s="124">
        <f>-1450*12-348</f>
        <v>-17748</v>
      </c>
      <c r="J518" s="124">
        <v>57765</v>
      </c>
      <c r="K518" s="124">
        <f t="shared" si="58"/>
        <v>698435</v>
      </c>
      <c r="L518" s="124">
        <v>709178</v>
      </c>
      <c r="M518" s="124">
        <f t="shared" si="59"/>
        <v>50760</v>
      </c>
      <c r="N518" s="270">
        <f t="shared" si="61"/>
        <v>7.7093882609527681E-2</v>
      </c>
      <c r="O518" s="124">
        <f t="shared" si="60"/>
        <v>10743</v>
      </c>
      <c r="P518" s="270">
        <f t="shared" si="62"/>
        <v>1.5381531567003372E-2</v>
      </c>
    </row>
    <row r="519" spans="1:16">
      <c r="E519" s="372"/>
      <c r="F519" s="373"/>
      <c r="G519" s="135"/>
      <c r="H519" s="135"/>
      <c r="I519" s="136"/>
      <c r="J519" s="135"/>
      <c r="K519" s="124">
        <f t="shared" si="58"/>
        <v>0</v>
      </c>
      <c r="L519" s="373">
        <v>0</v>
      </c>
      <c r="M519" s="373">
        <f t="shared" si="59"/>
        <v>0</v>
      </c>
      <c r="N519" s="160"/>
      <c r="O519" s="373">
        <f t="shared" si="60"/>
        <v>0</v>
      </c>
      <c r="P519" s="160"/>
    </row>
    <row r="520" spans="1:16" ht="13.8">
      <c r="A520" s="77" t="s">
        <v>659</v>
      </c>
      <c r="B520" s="77" t="s">
        <v>601</v>
      </c>
      <c r="E520" s="344" t="s">
        <v>584</v>
      </c>
      <c r="F520" s="126">
        <f>F521+F540+F545</f>
        <v>16150525</v>
      </c>
      <c r="G520" s="126">
        <f>G521+G540+G545</f>
        <v>0</v>
      </c>
      <c r="H520" s="126">
        <f>H521+H540+H545</f>
        <v>282764</v>
      </c>
      <c r="I520" s="126">
        <f>I521+I540+I545</f>
        <v>445782</v>
      </c>
      <c r="J520" s="126">
        <f>J521+J540+J545</f>
        <v>303586</v>
      </c>
      <c r="K520" s="126">
        <f t="shared" ref="K520:K583" si="73">F520+G520+H520+J520+I520</f>
        <v>17182657</v>
      </c>
      <c r="L520" s="126">
        <f>L521+L540+L545</f>
        <v>17066584</v>
      </c>
      <c r="M520" s="126">
        <f t="shared" ref="M520:M583" si="74">L520-F520</f>
        <v>916059</v>
      </c>
      <c r="N520" s="313">
        <f t="shared" ref="N520:N582" si="75">M520/F520</f>
        <v>5.6720075663175037E-2</v>
      </c>
      <c r="O520" s="126">
        <f t="shared" ref="O520:O583" si="76">L520-K520</f>
        <v>-116073</v>
      </c>
      <c r="P520" s="313">
        <f t="shared" ref="P520:P583" si="77">O520/K520</f>
        <v>-6.7552416369598715E-3</v>
      </c>
    </row>
    <row r="521" spans="1:16">
      <c r="E521" s="339" t="s">
        <v>104</v>
      </c>
      <c r="F521" s="123">
        <f t="shared" ref="F521:J522" si="78">F525+F529+F533+F537</f>
        <v>8572370</v>
      </c>
      <c r="G521" s="123">
        <f t="shared" si="78"/>
        <v>0</v>
      </c>
      <c r="H521" s="123">
        <f t="shared" si="78"/>
        <v>82764</v>
      </c>
      <c r="I521" s="123">
        <f t="shared" si="78"/>
        <v>158457</v>
      </c>
      <c r="J521" s="123">
        <f t="shared" si="78"/>
        <v>298536</v>
      </c>
      <c r="K521" s="123">
        <f t="shared" si="73"/>
        <v>9112127</v>
      </c>
      <c r="L521" s="123">
        <f>L525+L529+L533+L537</f>
        <v>9091890</v>
      </c>
      <c r="M521" s="123">
        <f t="shared" si="74"/>
        <v>519520</v>
      </c>
      <c r="N521" s="160">
        <f t="shared" si="75"/>
        <v>6.0604010326199172E-2</v>
      </c>
      <c r="O521" s="123">
        <f t="shared" si="76"/>
        <v>-20237</v>
      </c>
      <c r="P521" s="160">
        <f t="shared" si="77"/>
        <v>-2.2208865174947628E-3</v>
      </c>
    </row>
    <row r="522" spans="1:16">
      <c r="E522" s="132" t="s">
        <v>47</v>
      </c>
      <c r="F522" s="124">
        <f t="shared" si="78"/>
        <v>3055399</v>
      </c>
      <c r="G522" s="124">
        <f t="shared" si="78"/>
        <v>0</v>
      </c>
      <c r="H522" s="124">
        <f t="shared" si="78"/>
        <v>8000</v>
      </c>
      <c r="I522" s="124">
        <f t="shared" si="78"/>
        <v>-15000</v>
      </c>
      <c r="J522" s="124">
        <f t="shared" si="78"/>
        <v>223118</v>
      </c>
      <c r="K522" s="124">
        <f t="shared" si="73"/>
        <v>3271517</v>
      </c>
      <c r="L522" s="124">
        <f>L526+L530+L534+L538</f>
        <v>3343231</v>
      </c>
      <c r="M522" s="124">
        <f t="shared" si="74"/>
        <v>287832</v>
      </c>
      <c r="N522" s="270">
        <f t="shared" si="75"/>
        <v>9.420439032676256E-2</v>
      </c>
      <c r="O522" s="124">
        <f t="shared" si="76"/>
        <v>71714</v>
      </c>
      <c r="P522" s="270">
        <f t="shared" si="77"/>
        <v>2.1920717514229637E-2</v>
      </c>
    </row>
    <row r="523" spans="1:16">
      <c r="E523" s="132"/>
      <c r="F523" s="124"/>
      <c r="G523" s="135"/>
      <c r="H523" s="135"/>
      <c r="I523" s="136"/>
      <c r="J523" s="135"/>
      <c r="K523" s="124">
        <f t="shared" si="73"/>
        <v>0</v>
      </c>
      <c r="L523" s="124">
        <v>0</v>
      </c>
      <c r="M523" s="124">
        <f t="shared" si="74"/>
        <v>0</v>
      </c>
      <c r="N523" s="270"/>
      <c r="O523" s="124">
        <f t="shared" si="76"/>
        <v>0</v>
      </c>
      <c r="P523" s="270"/>
    </row>
    <row r="524" spans="1:16">
      <c r="E524" s="315" t="s">
        <v>101</v>
      </c>
      <c r="F524" s="123"/>
      <c r="G524" s="135"/>
      <c r="H524" s="135"/>
      <c r="I524" s="136"/>
      <c r="J524" s="135"/>
      <c r="K524" s="123">
        <f t="shared" si="73"/>
        <v>0</v>
      </c>
      <c r="L524" s="123">
        <v>0</v>
      </c>
      <c r="M524" s="123">
        <f t="shared" si="74"/>
        <v>0</v>
      </c>
      <c r="N524" s="160"/>
      <c r="O524" s="123">
        <f t="shared" si="76"/>
        <v>0</v>
      </c>
      <c r="P524" s="160"/>
    </row>
    <row r="525" spans="1:16">
      <c r="C525" s="537" t="s">
        <v>1030</v>
      </c>
      <c r="D525" s="537" t="s">
        <v>953</v>
      </c>
      <c r="E525" s="37" t="s">
        <v>517</v>
      </c>
      <c r="F525" s="47">
        <v>992197</v>
      </c>
      <c r="G525" s="135"/>
      <c r="H525" s="47"/>
      <c r="I525" s="47">
        <v>-88000</v>
      </c>
      <c r="J525" s="47">
        <v>47331</v>
      </c>
      <c r="K525" s="47">
        <f t="shared" si="73"/>
        <v>951528</v>
      </c>
      <c r="L525" s="47">
        <v>1010691</v>
      </c>
      <c r="M525" s="47">
        <f t="shared" si="74"/>
        <v>18494</v>
      </c>
      <c r="N525" s="96">
        <f t="shared" si="75"/>
        <v>1.8639443578241016E-2</v>
      </c>
      <c r="O525" s="47">
        <f t="shared" si="76"/>
        <v>59163</v>
      </c>
      <c r="P525" s="96">
        <f t="shared" si="77"/>
        <v>6.217683557394002E-2</v>
      </c>
    </row>
    <row r="526" spans="1:16">
      <c r="E526" s="323" t="s">
        <v>47</v>
      </c>
      <c r="F526" s="124">
        <v>415100</v>
      </c>
      <c r="G526" s="135"/>
      <c r="H526" s="124"/>
      <c r="I526" s="124"/>
      <c r="J526" s="124">
        <v>35374</v>
      </c>
      <c r="K526" s="124">
        <f t="shared" si="73"/>
        <v>450474</v>
      </c>
      <c r="L526" s="124">
        <v>485120</v>
      </c>
      <c r="M526" s="124">
        <f t="shared" si="74"/>
        <v>70020</v>
      </c>
      <c r="N526" s="270">
        <f t="shared" si="75"/>
        <v>0.16868224524211034</v>
      </c>
      <c r="O526" s="124">
        <f t="shared" si="76"/>
        <v>34646</v>
      </c>
      <c r="P526" s="270">
        <f t="shared" si="77"/>
        <v>7.6910099140016966E-2</v>
      </c>
    </row>
    <row r="527" spans="1:16">
      <c r="E527" s="132"/>
      <c r="F527" s="124"/>
      <c r="G527" s="135"/>
      <c r="H527" s="124"/>
      <c r="I527" s="124"/>
      <c r="J527" s="124"/>
      <c r="K527" s="124">
        <f t="shared" si="73"/>
        <v>0</v>
      </c>
      <c r="L527" s="124">
        <v>0</v>
      </c>
      <c r="M527" s="124">
        <f t="shared" si="74"/>
        <v>0</v>
      </c>
      <c r="N527" s="270"/>
      <c r="O527" s="124">
        <f t="shared" si="76"/>
        <v>0</v>
      </c>
      <c r="P527" s="270"/>
    </row>
    <row r="528" spans="1:16">
      <c r="E528" s="315" t="s">
        <v>101</v>
      </c>
      <c r="F528" s="123"/>
      <c r="G528" s="135"/>
      <c r="H528" s="123"/>
      <c r="I528" s="123"/>
      <c r="J528" s="123"/>
      <c r="K528" s="123">
        <f t="shared" si="73"/>
        <v>0</v>
      </c>
      <c r="L528" s="123">
        <v>0</v>
      </c>
      <c r="M528" s="123">
        <f t="shared" si="74"/>
        <v>0</v>
      </c>
      <c r="N528" s="160"/>
      <c r="O528" s="123">
        <f t="shared" si="76"/>
        <v>0</v>
      </c>
      <c r="P528" s="160"/>
    </row>
    <row r="529" spans="3:16" ht="33.6">
      <c r="C529" s="537" t="s">
        <v>1030</v>
      </c>
      <c r="D529" s="537" t="s">
        <v>953</v>
      </c>
      <c r="E529" s="37" t="s">
        <v>518</v>
      </c>
      <c r="F529" s="47">
        <v>5322972</v>
      </c>
      <c r="G529" s="135"/>
      <c r="H529" s="47">
        <v>82764</v>
      </c>
      <c r="I529" s="47">
        <v>269580</v>
      </c>
      <c r="J529" s="47">
        <v>166138</v>
      </c>
      <c r="K529" s="47">
        <f t="shared" si="73"/>
        <v>5841454</v>
      </c>
      <c r="L529" s="47">
        <v>5751841</v>
      </c>
      <c r="M529" s="47">
        <f t="shared" si="74"/>
        <v>428869</v>
      </c>
      <c r="N529" s="96">
        <f t="shared" si="75"/>
        <v>8.0569463825847662E-2</v>
      </c>
      <c r="O529" s="47">
        <f t="shared" si="76"/>
        <v>-89613</v>
      </c>
      <c r="P529" s="96">
        <f t="shared" si="77"/>
        <v>-1.5340872323911136E-2</v>
      </c>
    </row>
    <row r="530" spans="3:16">
      <c r="E530" s="323" t="s">
        <v>47</v>
      </c>
      <c r="F530" s="124">
        <v>1757719</v>
      </c>
      <c r="G530" s="135"/>
      <c r="H530" s="124">
        <v>8000</v>
      </c>
      <c r="I530" s="124">
        <v>-15000</v>
      </c>
      <c r="J530" s="124">
        <v>124167</v>
      </c>
      <c r="K530" s="124">
        <f t="shared" si="73"/>
        <v>1874886</v>
      </c>
      <c r="L530" s="124">
        <v>1911898</v>
      </c>
      <c r="M530" s="124">
        <f t="shared" si="74"/>
        <v>154179</v>
      </c>
      <c r="N530" s="270">
        <f t="shared" si="75"/>
        <v>8.7715385678825794E-2</v>
      </c>
      <c r="O530" s="124">
        <f t="shared" si="76"/>
        <v>37012</v>
      </c>
      <c r="P530" s="270">
        <f t="shared" si="77"/>
        <v>1.9740933582095124E-2</v>
      </c>
    </row>
    <row r="531" spans="3:16">
      <c r="E531" s="323"/>
      <c r="F531" s="124"/>
      <c r="G531" s="135"/>
      <c r="H531" s="124"/>
      <c r="I531" s="124"/>
      <c r="J531" s="135"/>
      <c r="K531" s="124">
        <f t="shared" si="73"/>
        <v>0</v>
      </c>
      <c r="L531" s="124">
        <v>0</v>
      </c>
      <c r="M531" s="124">
        <f t="shared" si="74"/>
        <v>0</v>
      </c>
      <c r="N531" s="270"/>
      <c r="O531" s="124">
        <f t="shared" si="76"/>
        <v>0</v>
      </c>
      <c r="P531" s="270"/>
    </row>
    <row r="532" spans="3:16">
      <c r="E532" s="315" t="s">
        <v>101</v>
      </c>
      <c r="F532" s="123"/>
      <c r="G532" s="135"/>
      <c r="H532" s="123"/>
      <c r="I532" s="123"/>
      <c r="J532" s="135"/>
      <c r="K532" s="123">
        <f t="shared" si="73"/>
        <v>0</v>
      </c>
      <c r="L532" s="123">
        <v>0</v>
      </c>
      <c r="M532" s="123">
        <f t="shared" si="74"/>
        <v>0</v>
      </c>
      <c r="N532" s="160"/>
      <c r="O532" s="123">
        <f t="shared" si="76"/>
        <v>0</v>
      </c>
      <c r="P532" s="160"/>
    </row>
    <row r="533" spans="3:16">
      <c r="C533" s="537" t="s">
        <v>1030</v>
      </c>
      <c r="D533" s="537" t="s">
        <v>953</v>
      </c>
      <c r="E533" s="37" t="s">
        <v>519</v>
      </c>
      <c r="F533" s="47">
        <v>1730838</v>
      </c>
      <c r="G533" s="135"/>
      <c r="H533" s="47"/>
      <c r="I533" s="47">
        <v>-19000</v>
      </c>
      <c r="J533" s="47">
        <v>69898</v>
      </c>
      <c r="K533" s="47">
        <f t="shared" si="73"/>
        <v>1781736</v>
      </c>
      <c r="L533" s="47">
        <v>1769539</v>
      </c>
      <c r="M533" s="47">
        <f t="shared" si="74"/>
        <v>38701</v>
      </c>
      <c r="N533" s="96">
        <f t="shared" si="75"/>
        <v>2.2359689352787492E-2</v>
      </c>
      <c r="O533" s="47">
        <f t="shared" si="76"/>
        <v>-12197</v>
      </c>
      <c r="P533" s="96">
        <f t="shared" si="77"/>
        <v>-6.8455708365324601E-3</v>
      </c>
    </row>
    <row r="534" spans="3:16">
      <c r="E534" s="323" t="s">
        <v>47</v>
      </c>
      <c r="F534" s="124">
        <v>741376</v>
      </c>
      <c r="G534" s="135"/>
      <c r="H534" s="124"/>
      <c r="I534" s="124">
        <v>0</v>
      </c>
      <c r="J534" s="124">
        <v>52240</v>
      </c>
      <c r="K534" s="124">
        <f t="shared" si="73"/>
        <v>793616</v>
      </c>
      <c r="L534" s="124">
        <v>792014</v>
      </c>
      <c r="M534" s="124">
        <f t="shared" si="74"/>
        <v>50638</v>
      </c>
      <c r="N534" s="270">
        <f t="shared" si="75"/>
        <v>6.8302723584254141E-2</v>
      </c>
      <c r="O534" s="124">
        <f t="shared" si="76"/>
        <v>-1602</v>
      </c>
      <c r="P534" s="270">
        <f t="shared" si="77"/>
        <v>-2.0186084957964558E-3</v>
      </c>
    </row>
    <row r="535" spans="3:16">
      <c r="E535" s="147"/>
      <c r="F535" s="136"/>
      <c r="G535" s="135"/>
      <c r="H535" s="136"/>
      <c r="I535" s="136"/>
      <c r="J535" s="135"/>
      <c r="K535" s="136">
        <f t="shared" si="73"/>
        <v>0</v>
      </c>
      <c r="L535" s="136">
        <v>0</v>
      </c>
      <c r="M535" s="136">
        <f t="shared" si="74"/>
        <v>0</v>
      </c>
      <c r="N535" s="157"/>
      <c r="O535" s="136">
        <f t="shared" si="76"/>
        <v>0</v>
      </c>
      <c r="P535" s="157"/>
    </row>
    <row r="536" spans="3:16">
      <c r="E536" s="315" t="s">
        <v>101</v>
      </c>
      <c r="F536" s="123"/>
      <c r="G536" s="135"/>
      <c r="H536" s="123"/>
      <c r="I536" s="123"/>
      <c r="J536" s="135"/>
      <c r="K536" s="123">
        <f t="shared" si="73"/>
        <v>0</v>
      </c>
      <c r="L536" s="123">
        <v>0</v>
      </c>
      <c r="M536" s="123">
        <f t="shared" si="74"/>
        <v>0</v>
      </c>
      <c r="N536" s="160"/>
      <c r="O536" s="123">
        <f t="shared" si="76"/>
        <v>0</v>
      </c>
      <c r="P536" s="160"/>
    </row>
    <row r="537" spans="3:16" ht="23.4">
      <c r="C537" s="537" t="s">
        <v>1030</v>
      </c>
      <c r="D537" s="537" t="s">
        <v>953</v>
      </c>
      <c r="E537" s="37" t="s">
        <v>661</v>
      </c>
      <c r="F537" s="47">
        <v>526363</v>
      </c>
      <c r="G537" s="135"/>
      <c r="H537" s="47"/>
      <c r="I537" s="47">
        <v>-4123</v>
      </c>
      <c r="J537" s="47">
        <v>15169</v>
      </c>
      <c r="K537" s="47">
        <f t="shared" si="73"/>
        <v>537409</v>
      </c>
      <c r="L537" s="47">
        <v>559819</v>
      </c>
      <c r="M537" s="47">
        <f t="shared" si="74"/>
        <v>33456</v>
      </c>
      <c r="N537" s="96">
        <f t="shared" si="75"/>
        <v>6.35606986053351E-2</v>
      </c>
      <c r="O537" s="47">
        <f t="shared" si="76"/>
        <v>22410</v>
      </c>
      <c r="P537" s="96">
        <f t="shared" si="77"/>
        <v>4.1700083176872738E-2</v>
      </c>
    </row>
    <row r="538" spans="3:16">
      <c r="E538" s="323" t="s">
        <v>47</v>
      </c>
      <c r="F538" s="124">
        <v>141204</v>
      </c>
      <c r="G538" s="135"/>
      <c r="H538" s="124"/>
      <c r="I538" s="124">
        <v>0</v>
      </c>
      <c r="J538" s="124">
        <v>11337</v>
      </c>
      <c r="K538" s="124">
        <f t="shared" si="73"/>
        <v>152541</v>
      </c>
      <c r="L538" s="124">
        <v>154199</v>
      </c>
      <c r="M538" s="124">
        <f t="shared" si="74"/>
        <v>12995</v>
      </c>
      <c r="N538" s="270">
        <f t="shared" si="75"/>
        <v>9.2029970822356311E-2</v>
      </c>
      <c r="O538" s="124">
        <f t="shared" si="76"/>
        <v>1658</v>
      </c>
      <c r="P538" s="270">
        <f t="shared" si="77"/>
        <v>1.0869208933991518E-2</v>
      </c>
    </row>
    <row r="539" spans="3:16">
      <c r="E539" s="147"/>
      <c r="F539" s="136"/>
      <c r="G539" s="135"/>
      <c r="H539" s="135"/>
      <c r="I539" s="136"/>
      <c r="J539" s="135"/>
      <c r="K539" s="136">
        <f t="shared" si="73"/>
        <v>0</v>
      </c>
      <c r="L539" s="136">
        <v>0</v>
      </c>
      <c r="M539" s="136">
        <f t="shared" si="74"/>
        <v>0</v>
      </c>
      <c r="N539" s="157"/>
      <c r="O539" s="136">
        <f t="shared" si="76"/>
        <v>0</v>
      </c>
      <c r="P539" s="157"/>
    </row>
    <row r="540" spans="3:16">
      <c r="E540" s="339" t="s">
        <v>318</v>
      </c>
      <c r="F540" s="123">
        <f>F543</f>
        <v>6265000</v>
      </c>
      <c r="G540" s="123">
        <f t="shared" ref="G540:J540" si="79">G543</f>
        <v>0</v>
      </c>
      <c r="H540" s="123">
        <f t="shared" si="79"/>
        <v>0</v>
      </c>
      <c r="I540" s="123">
        <f>I543</f>
        <v>287325</v>
      </c>
      <c r="J540" s="123">
        <f t="shared" si="79"/>
        <v>0</v>
      </c>
      <c r="K540" s="123">
        <f t="shared" si="73"/>
        <v>6552325</v>
      </c>
      <c r="L540" s="123">
        <f>L543</f>
        <v>6747000</v>
      </c>
      <c r="M540" s="123">
        <f t="shared" si="74"/>
        <v>482000</v>
      </c>
      <c r="N540" s="160">
        <f t="shared" si="75"/>
        <v>7.6935355147645657E-2</v>
      </c>
      <c r="O540" s="123">
        <f t="shared" si="76"/>
        <v>194675</v>
      </c>
      <c r="P540" s="160">
        <f t="shared" si="77"/>
        <v>2.9710827835920838E-2</v>
      </c>
    </row>
    <row r="541" spans="3:16">
      <c r="E541" s="339"/>
      <c r="F541" s="123"/>
      <c r="G541" s="135"/>
      <c r="H541" s="135"/>
      <c r="I541" s="136"/>
      <c r="J541" s="135"/>
      <c r="K541" s="123">
        <f t="shared" si="73"/>
        <v>0</v>
      </c>
      <c r="L541" s="123">
        <v>0</v>
      </c>
      <c r="M541" s="123">
        <f t="shared" si="74"/>
        <v>0</v>
      </c>
      <c r="N541" s="160"/>
      <c r="O541" s="123">
        <f t="shared" si="76"/>
        <v>0</v>
      </c>
      <c r="P541" s="160"/>
    </row>
    <row r="542" spans="3:16">
      <c r="E542" s="315" t="s">
        <v>101</v>
      </c>
      <c r="F542" s="123"/>
      <c r="G542" s="135"/>
      <c r="H542" s="135"/>
      <c r="I542" s="136"/>
      <c r="J542" s="135"/>
      <c r="K542" s="123">
        <f t="shared" si="73"/>
        <v>0</v>
      </c>
      <c r="L542" s="123">
        <v>0</v>
      </c>
      <c r="M542" s="123">
        <f t="shared" si="74"/>
        <v>0</v>
      </c>
      <c r="N542" s="160"/>
      <c r="O542" s="123">
        <f t="shared" si="76"/>
        <v>0</v>
      </c>
      <c r="P542" s="160"/>
    </row>
    <row r="543" spans="3:16">
      <c r="C543" s="537" t="s">
        <v>1030</v>
      </c>
      <c r="D543" s="537" t="s">
        <v>968</v>
      </c>
      <c r="E543" s="37" t="s">
        <v>319</v>
      </c>
      <c r="F543" s="47">
        <v>6265000</v>
      </c>
      <c r="G543" s="47"/>
      <c r="H543" s="47"/>
      <c r="I543" s="131">
        <v>287325</v>
      </c>
      <c r="J543" s="47"/>
      <c r="K543" s="47">
        <f t="shared" si="73"/>
        <v>6552325</v>
      </c>
      <c r="L543" s="47">
        <v>6747000</v>
      </c>
      <c r="M543" s="47">
        <f t="shared" si="74"/>
        <v>482000</v>
      </c>
      <c r="N543" s="96">
        <f t="shared" si="75"/>
        <v>7.6935355147645657E-2</v>
      </c>
      <c r="O543" s="47">
        <f t="shared" si="76"/>
        <v>194675</v>
      </c>
      <c r="P543" s="96">
        <f t="shared" si="77"/>
        <v>2.9710827835920838E-2</v>
      </c>
    </row>
    <row r="544" spans="3:16">
      <c r="E544" s="354"/>
      <c r="F544" s="321"/>
      <c r="G544" s="135"/>
      <c r="H544" s="135"/>
      <c r="I544" s="136"/>
      <c r="J544" s="135"/>
      <c r="K544" s="321">
        <f t="shared" si="73"/>
        <v>0</v>
      </c>
      <c r="L544" s="321">
        <v>0</v>
      </c>
      <c r="M544" s="321">
        <f t="shared" si="74"/>
        <v>0</v>
      </c>
      <c r="N544" s="322"/>
      <c r="O544" s="321">
        <f t="shared" si="76"/>
        <v>0</v>
      </c>
      <c r="P544" s="322"/>
    </row>
    <row r="545" spans="1:16">
      <c r="E545" s="339" t="s">
        <v>320</v>
      </c>
      <c r="F545" s="123">
        <f>F549</f>
        <v>1313155</v>
      </c>
      <c r="G545" s="123">
        <f t="shared" ref="G545:J546" si="80">G549</f>
        <v>0</v>
      </c>
      <c r="H545" s="123">
        <f t="shared" si="80"/>
        <v>200000</v>
      </c>
      <c r="I545" s="123"/>
      <c r="J545" s="123">
        <f t="shared" si="80"/>
        <v>5050</v>
      </c>
      <c r="K545" s="123">
        <f t="shared" si="73"/>
        <v>1518205</v>
      </c>
      <c r="L545" s="123">
        <f>L549</f>
        <v>1227694</v>
      </c>
      <c r="M545" s="123">
        <f t="shared" si="74"/>
        <v>-85461</v>
      </c>
      <c r="N545" s="160">
        <f t="shared" si="75"/>
        <v>-6.5080664506474858E-2</v>
      </c>
      <c r="O545" s="123">
        <f t="shared" si="76"/>
        <v>-290511</v>
      </c>
      <c r="P545" s="160">
        <f t="shared" si="77"/>
        <v>-0.19135162906195144</v>
      </c>
    </row>
    <row r="546" spans="1:16">
      <c r="E546" s="132" t="s">
        <v>47</v>
      </c>
      <c r="F546" s="124">
        <f>F550</f>
        <v>63984</v>
      </c>
      <c r="G546" s="124">
        <f t="shared" si="80"/>
        <v>0</v>
      </c>
      <c r="H546" s="124">
        <f t="shared" si="80"/>
        <v>0</v>
      </c>
      <c r="I546" s="124"/>
      <c r="J546" s="124">
        <f t="shared" si="80"/>
        <v>3774</v>
      </c>
      <c r="K546" s="124">
        <f t="shared" si="73"/>
        <v>67758</v>
      </c>
      <c r="L546" s="124">
        <f>L550</f>
        <v>68513</v>
      </c>
      <c r="M546" s="124">
        <f t="shared" si="74"/>
        <v>4529</v>
      </c>
      <c r="N546" s="270">
        <f t="shared" si="75"/>
        <v>7.0783320830207552E-2</v>
      </c>
      <c r="O546" s="124">
        <f t="shared" si="76"/>
        <v>755</v>
      </c>
      <c r="P546" s="270">
        <f t="shared" si="77"/>
        <v>1.1142595708255851E-2</v>
      </c>
    </row>
    <row r="547" spans="1:16">
      <c r="E547" s="10"/>
      <c r="F547" s="136"/>
      <c r="G547" s="135"/>
      <c r="H547" s="135"/>
      <c r="I547" s="136"/>
      <c r="J547" s="135"/>
      <c r="K547" s="136">
        <f t="shared" si="73"/>
        <v>0</v>
      </c>
      <c r="L547" s="136">
        <v>0</v>
      </c>
      <c r="M547" s="136">
        <f t="shared" si="74"/>
        <v>0</v>
      </c>
      <c r="N547" s="157"/>
      <c r="O547" s="136">
        <f t="shared" si="76"/>
        <v>0</v>
      </c>
      <c r="P547" s="157"/>
    </row>
    <row r="548" spans="1:16">
      <c r="E548" s="315" t="s">
        <v>101</v>
      </c>
      <c r="F548" s="123"/>
      <c r="G548" s="135"/>
      <c r="H548" s="135"/>
      <c r="I548" s="136"/>
      <c r="J548" s="135"/>
      <c r="K548" s="123">
        <f t="shared" si="73"/>
        <v>0</v>
      </c>
      <c r="L548" s="123">
        <v>0</v>
      </c>
      <c r="M548" s="123">
        <f t="shared" si="74"/>
        <v>0</v>
      </c>
      <c r="N548" s="160"/>
      <c r="O548" s="123">
        <f t="shared" si="76"/>
        <v>0</v>
      </c>
      <c r="P548" s="160"/>
    </row>
    <row r="549" spans="1:16">
      <c r="C549" s="537" t="s">
        <v>1030</v>
      </c>
      <c r="D549" s="537" t="s">
        <v>968</v>
      </c>
      <c r="E549" s="37" t="s">
        <v>520</v>
      </c>
      <c r="F549" s="47">
        <v>1313155</v>
      </c>
      <c r="G549" s="47"/>
      <c r="H549" s="47">
        <v>200000</v>
      </c>
      <c r="I549" s="47"/>
      <c r="J549" s="47">
        <v>5050</v>
      </c>
      <c r="K549" s="47">
        <f t="shared" si="73"/>
        <v>1518205</v>
      </c>
      <c r="L549" s="47">
        <v>1227694</v>
      </c>
      <c r="M549" s="47">
        <f t="shared" si="74"/>
        <v>-85461</v>
      </c>
      <c r="N549" s="96">
        <f t="shared" si="75"/>
        <v>-6.5080664506474858E-2</v>
      </c>
      <c r="O549" s="47">
        <f t="shared" si="76"/>
        <v>-290511</v>
      </c>
      <c r="P549" s="96">
        <f t="shared" si="77"/>
        <v>-0.19135162906195144</v>
      </c>
    </row>
    <row r="550" spans="1:16">
      <c r="E550" s="323" t="s">
        <v>47</v>
      </c>
      <c r="F550" s="124">
        <v>63984</v>
      </c>
      <c r="G550" s="124"/>
      <c r="H550" s="124"/>
      <c r="I550" s="124"/>
      <c r="J550" s="124">
        <v>3774</v>
      </c>
      <c r="K550" s="124">
        <f t="shared" si="73"/>
        <v>67758</v>
      </c>
      <c r="L550" s="124">
        <v>68513</v>
      </c>
      <c r="M550" s="124">
        <f t="shared" si="74"/>
        <v>4529</v>
      </c>
      <c r="N550" s="270">
        <f t="shared" si="75"/>
        <v>7.0783320830207552E-2</v>
      </c>
      <c r="O550" s="124">
        <f t="shared" si="76"/>
        <v>755</v>
      </c>
      <c r="P550" s="270">
        <f t="shared" si="77"/>
        <v>1.1142595708255851E-2</v>
      </c>
    </row>
    <row r="551" spans="1:16">
      <c r="E551" s="37"/>
      <c r="F551" s="47"/>
      <c r="G551" s="135"/>
      <c r="H551" s="135"/>
      <c r="I551" s="136"/>
      <c r="J551" s="135"/>
      <c r="K551" s="47">
        <f t="shared" si="73"/>
        <v>0</v>
      </c>
      <c r="L551" s="47">
        <v>0</v>
      </c>
      <c r="M551" s="47">
        <f t="shared" si="74"/>
        <v>0</v>
      </c>
      <c r="N551" s="96"/>
      <c r="O551" s="47">
        <f t="shared" si="76"/>
        <v>0</v>
      </c>
      <c r="P551" s="96"/>
    </row>
    <row r="552" spans="1:16">
      <c r="E552" s="261" t="s">
        <v>102</v>
      </c>
      <c r="F552" s="127">
        <f>F554+F645+F647+F617+F642+F651+F557+F571+F597+F605+F611+F613+F615+F649</f>
        <v>6993386</v>
      </c>
      <c r="G552" s="127">
        <f>G554+G645+G647+G617+G642+G651+G557+G571+G597+G605+G611+G613+G615+G649</f>
        <v>0</v>
      </c>
      <c r="H552" s="127">
        <f>H554+H645+H647+H617+H642+H651+H557+H571+H597+H605+H611+H613+H615+H649</f>
        <v>638794</v>
      </c>
      <c r="I552" s="127">
        <f>I554+I645+I647+I617+I642+I651+I557+I571+I597+I605+I611+I613+I615+I649</f>
        <v>-136296</v>
      </c>
      <c r="J552" s="127">
        <f>J554+J645+J647+J617+J642+J651+J557+J571+J597+J605+J611+J613+J615+J649</f>
        <v>61783</v>
      </c>
      <c r="K552" s="127">
        <f t="shared" si="73"/>
        <v>7557667</v>
      </c>
      <c r="L552" s="127">
        <f>L554+L645+L647+L617+L642+L651+L557+L571+L597+L605+L611+L613+L615+L649</f>
        <v>7791363</v>
      </c>
      <c r="M552" s="127">
        <f t="shared" si="74"/>
        <v>797977</v>
      </c>
      <c r="N552" s="160">
        <f t="shared" si="75"/>
        <v>0.11410452676285851</v>
      </c>
      <c r="O552" s="127">
        <f t="shared" si="76"/>
        <v>233696</v>
      </c>
      <c r="P552" s="160">
        <f t="shared" si="77"/>
        <v>3.0921711686953131E-2</v>
      </c>
    </row>
    <row r="553" spans="1:16">
      <c r="E553" s="261"/>
      <c r="F553" s="127"/>
      <c r="G553" s="135"/>
      <c r="H553" s="135"/>
      <c r="I553" s="136"/>
      <c r="J553" s="135"/>
      <c r="K553" s="127">
        <f t="shared" si="73"/>
        <v>0</v>
      </c>
      <c r="L553" s="127">
        <v>0</v>
      </c>
      <c r="M553" s="127">
        <f t="shared" si="74"/>
        <v>0</v>
      </c>
      <c r="N553" s="160"/>
      <c r="O553" s="127">
        <f t="shared" si="76"/>
        <v>0</v>
      </c>
      <c r="P553" s="160"/>
    </row>
    <row r="554" spans="1:16">
      <c r="A554" s="135" t="s">
        <v>672</v>
      </c>
      <c r="B554" s="135" t="s">
        <v>601</v>
      </c>
      <c r="C554" s="537"/>
      <c r="D554" s="537"/>
      <c r="E554" s="273" t="s">
        <v>1232</v>
      </c>
      <c r="F554" s="131">
        <v>1084025</v>
      </c>
      <c r="G554" s="135"/>
      <c r="H554" s="131">
        <v>-26826</v>
      </c>
      <c r="I554" s="131">
        <v>-55296</v>
      </c>
      <c r="J554" s="131">
        <v>61783</v>
      </c>
      <c r="K554" s="131">
        <f t="shared" si="73"/>
        <v>1063686</v>
      </c>
      <c r="L554" s="131">
        <v>1095882</v>
      </c>
      <c r="M554" s="131">
        <f t="shared" si="74"/>
        <v>11857</v>
      </c>
      <c r="N554" s="157">
        <f t="shared" si="75"/>
        <v>1.0937939623163672E-2</v>
      </c>
      <c r="O554" s="131">
        <f t="shared" si="76"/>
        <v>32196</v>
      </c>
      <c r="P554" s="157">
        <f t="shared" si="77"/>
        <v>3.0268331067627101E-2</v>
      </c>
    </row>
    <row r="555" spans="1:16">
      <c r="E555" s="130" t="s">
        <v>47</v>
      </c>
      <c r="F555" s="124">
        <v>616827</v>
      </c>
      <c r="G555" s="135"/>
      <c r="H555" s="124">
        <v>-15191</v>
      </c>
      <c r="I555" s="124">
        <v>-33854</v>
      </c>
      <c r="J555" s="124">
        <v>46175</v>
      </c>
      <c r="K555" s="124">
        <f t="shared" si="73"/>
        <v>613957</v>
      </c>
      <c r="L555" s="124">
        <v>652216</v>
      </c>
      <c r="M555" s="124">
        <f t="shared" si="74"/>
        <v>35389</v>
      </c>
      <c r="N555" s="270">
        <f t="shared" si="75"/>
        <v>5.7372650678391188E-2</v>
      </c>
      <c r="O555" s="124">
        <f t="shared" si="76"/>
        <v>38259</v>
      </c>
      <c r="P555" s="270">
        <f t="shared" si="77"/>
        <v>6.2315439029117674E-2</v>
      </c>
    </row>
    <row r="556" spans="1:16">
      <c r="E556" s="356"/>
      <c r="F556" s="298"/>
      <c r="G556" s="135"/>
      <c r="H556" s="135"/>
      <c r="I556" s="136"/>
      <c r="J556" s="135"/>
      <c r="K556" s="298">
        <f t="shared" si="73"/>
        <v>0</v>
      </c>
      <c r="L556" s="298">
        <v>0</v>
      </c>
      <c r="M556" s="298">
        <f t="shared" si="74"/>
        <v>0</v>
      </c>
      <c r="N556" s="299"/>
      <c r="O556" s="298">
        <f t="shared" si="76"/>
        <v>0</v>
      </c>
      <c r="P556" s="299"/>
    </row>
    <row r="557" spans="1:16" s="10" customFormat="1">
      <c r="A557" s="135" t="s">
        <v>672</v>
      </c>
      <c r="B557" s="135" t="s">
        <v>601</v>
      </c>
      <c r="C557" s="482"/>
      <c r="D557" s="482"/>
      <c r="E557" s="273" t="s">
        <v>1081</v>
      </c>
      <c r="F557" s="268">
        <v>664200</v>
      </c>
      <c r="G557" s="268">
        <v>0</v>
      </c>
      <c r="H557" s="268">
        <v>70000</v>
      </c>
      <c r="I557" s="131">
        <v>-51000</v>
      </c>
      <c r="J557" s="268">
        <v>0</v>
      </c>
      <c r="K557" s="268">
        <f t="shared" si="73"/>
        <v>683200</v>
      </c>
      <c r="L557" s="268">
        <v>528530</v>
      </c>
      <c r="M557" s="268">
        <f t="shared" si="74"/>
        <v>-135670</v>
      </c>
      <c r="N557" s="157">
        <f t="shared" si="75"/>
        <v>-0.20426076482987052</v>
      </c>
      <c r="O557" s="268">
        <f t="shared" si="76"/>
        <v>-154670</v>
      </c>
      <c r="P557" s="157">
        <f t="shared" si="77"/>
        <v>-0.22639051522248244</v>
      </c>
    </row>
    <row r="558" spans="1:16">
      <c r="A558" s="482"/>
      <c r="B558" s="482"/>
      <c r="E558" s="130" t="s">
        <v>47</v>
      </c>
      <c r="F558" s="124">
        <v>80000</v>
      </c>
      <c r="G558" s="135"/>
      <c r="H558" s="135"/>
      <c r="I558" s="124">
        <v>-49470</v>
      </c>
      <c r="J558" s="135"/>
      <c r="K558" s="124">
        <f t="shared" si="73"/>
        <v>30530</v>
      </c>
      <c r="L558" s="124">
        <v>20000</v>
      </c>
      <c r="M558" s="124">
        <f t="shared" si="74"/>
        <v>-60000</v>
      </c>
      <c r="N558" s="270">
        <f t="shared" si="75"/>
        <v>-0.75</v>
      </c>
      <c r="O558" s="124">
        <f t="shared" si="76"/>
        <v>-10530</v>
      </c>
      <c r="P558" s="270">
        <f t="shared" si="77"/>
        <v>-0.34490664919751063</v>
      </c>
    </row>
    <row r="559" spans="1:16">
      <c r="A559" s="482"/>
      <c r="B559" s="482"/>
      <c r="E559" s="130" t="s">
        <v>225</v>
      </c>
      <c r="F559" s="124"/>
      <c r="G559" s="135"/>
      <c r="H559" s="135"/>
      <c r="I559" s="136"/>
      <c r="J559" s="135"/>
      <c r="K559" s="124">
        <f t="shared" si="73"/>
        <v>0</v>
      </c>
      <c r="L559" s="124">
        <v>0</v>
      </c>
      <c r="M559" s="124">
        <f t="shared" si="74"/>
        <v>0</v>
      </c>
      <c r="N559" s="270"/>
      <c r="O559" s="124">
        <f t="shared" si="76"/>
        <v>0</v>
      </c>
      <c r="P559" s="270"/>
    </row>
    <row r="560" spans="1:16">
      <c r="A560" s="482"/>
      <c r="B560" s="482"/>
      <c r="C560" s="537" t="s">
        <v>1001</v>
      </c>
      <c r="D560" s="537" t="s">
        <v>947</v>
      </c>
      <c r="E560" s="297" t="s">
        <v>226</v>
      </c>
      <c r="F560" s="298">
        <v>50000</v>
      </c>
      <c r="G560" s="135"/>
      <c r="H560" s="298">
        <f>70000+24000</f>
        <v>94000</v>
      </c>
      <c r="I560" s="298">
        <v>2284</v>
      </c>
      <c r="J560" s="135"/>
      <c r="K560" s="298">
        <f t="shared" si="73"/>
        <v>146284</v>
      </c>
      <c r="L560" s="298">
        <v>50000</v>
      </c>
      <c r="M560" s="298">
        <f t="shared" si="74"/>
        <v>0</v>
      </c>
      <c r="N560" s="299">
        <f t="shared" si="75"/>
        <v>0</v>
      </c>
      <c r="O560" s="298">
        <f t="shared" si="76"/>
        <v>-96284</v>
      </c>
      <c r="P560" s="299">
        <f t="shared" si="77"/>
        <v>-0.65819911952093191</v>
      </c>
    </row>
    <row r="561" spans="1:16">
      <c r="A561" s="482"/>
      <c r="B561" s="482"/>
      <c r="C561" s="537" t="s">
        <v>1001</v>
      </c>
      <c r="D561" s="537" t="s">
        <v>991</v>
      </c>
      <c r="E561" s="297" t="s">
        <v>1178</v>
      </c>
      <c r="F561" s="298"/>
      <c r="G561" s="135"/>
      <c r="H561" s="298"/>
      <c r="I561" s="298">
        <f>30000+5000</f>
        <v>35000</v>
      </c>
      <c r="J561" s="135"/>
      <c r="K561" s="298">
        <f t="shared" si="73"/>
        <v>35000</v>
      </c>
      <c r="L561" s="298">
        <v>0</v>
      </c>
      <c r="M561" s="298">
        <f t="shared" si="74"/>
        <v>0</v>
      </c>
      <c r="N561" s="299"/>
      <c r="O561" s="298">
        <f t="shared" si="76"/>
        <v>-35000</v>
      </c>
      <c r="P561" s="299">
        <f t="shared" si="77"/>
        <v>-1</v>
      </c>
    </row>
    <row r="562" spans="1:16">
      <c r="A562" s="482"/>
      <c r="B562" s="482"/>
      <c r="C562" s="537" t="s">
        <v>1001</v>
      </c>
      <c r="D562" s="537" t="s">
        <v>947</v>
      </c>
      <c r="E562" s="297" t="s">
        <v>228</v>
      </c>
      <c r="F562" s="298">
        <v>350000</v>
      </c>
      <c r="G562" s="135"/>
      <c r="H562" s="298"/>
      <c r="I562" s="298">
        <f>-35000-16000-30000</f>
        <v>-81000</v>
      </c>
      <c r="J562" s="135"/>
      <c r="K562" s="298">
        <f t="shared" si="73"/>
        <v>269000</v>
      </c>
      <c r="L562" s="298">
        <v>250000</v>
      </c>
      <c r="M562" s="298">
        <f t="shared" si="74"/>
        <v>-100000</v>
      </c>
      <c r="N562" s="299">
        <f t="shared" si="75"/>
        <v>-0.2857142857142857</v>
      </c>
      <c r="O562" s="298">
        <f t="shared" si="76"/>
        <v>-19000</v>
      </c>
      <c r="P562" s="299">
        <f t="shared" si="77"/>
        <v>-7.0631970260223054E-2</v>
      </c>
    </row>
    <row r="563" spans="1:16">
      <c r="A563" s="482"/>
      <c r="B563" s="482"/>
      <c r="E563" s="374" t="s">
        <v>516</v>
      </c>
      <c r="F563" s="277">
        <v>16000</v>
      </c>
      <c r="G563" s="135"/>
      <c r="H563" s="277"/>
      <c r="I563" s="277">
        <v>-16000</v>
      </c>
      <c r="J563" s="135"/>
      <c r="K563" s="277">
        <f t="shared" si="73"/>
        <v>0</v>
      </c>
      <c r="L563" s="277">
        <v>0</v>
      </c>
      <c r="M563" s="277">
        <f t="shared" si="74"/>
        <v>-16000</v>
      </c>
      <c r="N563" s="278">
        <f t="shared" si="75"/>
        <v>-1</v>
      </c>
      <c r="O563" s="277">
        <f t="shared" si="76"/>
        <v>0</v>
      </c>
      <c r="P563" s="278"/>
    </row>
    <row r="564" spans="1:16">
      <c r="A564" s="482"/>
      <c r="B564" s="482"/>
      <c r="C564" s="537" t="s">
        <v>1001</v>
      </c>
      <c r="D564" s="537" t="s">
        <v>962</v>
      </c>
      <c r="E564" s="297" t="s">
        <v>426</v>
      </c>
      <c r="F564" s="298">
        <v>10000</v>
      </c>
      <c r="G564" s="135"/>
      <c r="H564" s="298">
        <v>5000</v>
      </c>
      <c r="I564" s="298"/>
      <c r="J564" s="135"/>
      <c r="K564" s="298">
        <f t="shared" si="73"/>
        <v>15000</v>
      </c>
      <c r="L564" s="298">
        <v>15000</v>
      </c>
      <c r="M564" s="298">
        <f t="shared" si="74"/>
        <v>5000</v>
      </c>
      <c r="N564" s="299">
        <f t="shared" si="75"/>
        <v>0.5</v>
      </c>
      <c r="O564" s="298">
        <f t="shared" si="76"/>
        <v>0</v>
      </c>
      <c r="P564" s="299">
        <f t="shared" si="77"/>
        <v>0</v>
      </c>
    </row>
    <row r="565" spans="1:16">
      <c r="A565" s="482"/>
      <c r="B565" s="482"/>
      <c r="C565" s="537" t="s">
        <v>1001</v>
      </c>
      <c r="D565" s="537" t="s">
        <v>1005</v>
      </c>
      <c r="E565" s="297" t="s">
        <v>230</v>
      </c>
      <c r="F565" s="298">
        <v>30000</v>
      </c>
      <c r="G565" s="135"/>
      <c r="H565" s="298"/>
      <c r="I565" s="298"/>
      <c r="J565" s="135"/>
      <c r="K565" s="298">
        <f t="shared" si="73"/>
        <v>30000</v>
      </c>
      <c r="L565" s="298">
        <v>30000</v>
      </c>
      <c r="M565" s="298">
        <f t="shared" si="74"/>
        <v>0</v>
      </c>
      <c r="N565" s="299">
        <f t="shared" si="75"/>
        <v>0</v>
      </c>
      <c r="O565" s="298">
        <f t="shared" si="76"/>
        <v>0</v>
      </c>
      <c r="P565" s="299">
        <f t="shared" si="77"/>
        <v>0</v>
      </c>
    </row>
    <row r="566" spans="1:16">
      <c r="A566" s="482"/>
      <c r="B566" s="482"/>
      <c r="C566" s="537" t="s">
        <v>1001</v>
      </c>
      <c r="D566" s="537" t="s">
        <v>947</v>
      </c>
      <c r="E566" s="297" t="s">
        <v>1037</v>
      </c>
      <c r="F566" s="298">
        <v>42000</v>
      </c>
      <c r="G566" s="135"/>
      <c r="H566" s="135"/>
      <c r="I566" s="136"/>
      <c r="J566" s="135"/>
      <c r="K566" s="298">
        <f t="shared" si="73"/>
        <v>42000</v>
      </c>
      <c r="L566" s="298">
        <v>48000</v>
      </c>
      <c r="M566" s="298">
        <f t="shared" si="74"/>
        <v>6000</v>
      </c>
      <c r="N566" s="299">
        <f t="shared" si="75"/>
        <v>0.14285714285714285</v>
      </c>
      <c r="O566" s="298">
        <f t="shared" si="76"/>
        <v>6000</v>
      </c>
      <c r="P566" s="299">
        <f t="shared" si="77"/>
        <v>0.14285714285714285</v>
      </c>
    </row>
    <row r="567" spans="1:16">
      <c r="A567" s="482"/>
      <c r="B567" s="482"/>
      <c r="C567" s="537" t="s">
        <v>1001</v>
      </c>
      <c r="D567" s="537" t="s">
        <v>947</v>
      </c>
      <c r="E567" s="183" t="s">
        <v>1038</v>
      </c>
      <c r="F567" s="304"/>
      <c r="G567" s="135"/>
      <c r="H567" s="135"/>
      <c r="I567" s="136"/>
      <c r="J567" s="135"/>
      <c r="K567" s="304">
        <f t="shared" si="73"/>
        <v>0</v>
      </c>
      <c r="L567" s="304">
        <v>45000</v>
      </c>
      <c r="M567" s="304">
        <f t="shared" si="74"/>
        <v>45000</v>
      </c>
      <c r="N567" s="305"/>
      <c r="O567" s="304">
        <f t="shared" si="76"/>
        <v>45000</v>
      </c>
      <c r="P567" s="305"/>
    </row>
    <row r="568" spans="1:16">
      <c r="A568" s="482"/>
      <c r="B568" s="482"/>
      <c r="E568" s="183"/>
      <c r="F568" s="304"/>
      <c r="G568" s="135"/>
      <c r="H568" s="135"/>
      <c r="I568" s="136"/>
      <c r="J568" s="135"/>
      <c r="K568" s="304">
        <f t="shared" si="73"/>
        <v>0</v>
      </c>
      <c r="L568" s="304">
        <v>0</v>
      </c>
      <c r="M568" s="304">
        <f t="shared" si="74"/>
        <v>0</v>
      </c>
      <c r="N568" s="305"/>
      <c r="O568" s="304">
        <f t="shared" si="76"/>
        <v>0</v>
      </c>
      <c r="P568" s="305"/>
    </row>
    <row r="569" spans="1:16" ht="20.399999999999999">
      <c r="A569" s="482"/>
      <c r="B569" s="482"/>
      <c r="E569" s="303" t="s">
        <v>1039</v>
      </c>
      <c r="F569" s="304"/>
      <c r="G569" s="135"/>
      <c r="H569" s="135"/>
      <c r="I569" s="136"/>
      <c r="J569" s="135"/>
      <c r="K569" s="304">
        <f t="shared" si="73"/>
        <v>0</v>
      </c>
      <c r="L569" s="304">
        <v>0</v>
      </c>
      <c r="M569" s="304">
        <f t="shared" si="74"/>
        <v>0</v>
      </c>
      <c r="N569" s="305"/>
      <c r="O569" s="304">
        <f t="shared" si="76"/>
        <v>0</v>
      </c>
      <c r="P569" s="305"/>
    </row>
    <row r="570" spans="1:16" ht="14.4">
      <c r="E570" s="10"/>
      <c r="F570" s="135"/>
      <c r="G570" s="135"/>
      <c r="H570" s="135"/>
      <c r="I570" s="136"/>
      <c r="J570" s="135"/>
      <c r="K570" s="135">
        <f t="shared" si="73"/>
        <v>0</v>
      </c>
      <c r="L570" s="606">
        <v>0</v>
      </c>
      <c r="M570" s="606">
        <f t="shared" si="74"/>
        <v>0</v>
      </c>
      <c r="N570" s="653"/>
      <c r="O570" s="606">
        <f t="shared" si="76"/>
        <v>0</v>
      </c>
      <c r="P570" s="653"/>
    </row>
    <row r="571" spans="1:16" s="10" customFormat="1">
      <c r="A571" s="135" t="s">
        <v>672</v>
      </c>
      <c r="B571" s="135" t="s">
        <v>601</v>
      </c>
      <c r="C571" s="135"/>
      <c r="D571" s="135"/>
      <c r="E571" s="273" t="s">
        <v>1082</v>
      </c>
      <c r="F571" s="268">
        <f>F573+F579+F580+F577+F581+F592+F593+F594+F576</f>
        <v>1374380</v>
      </c>
      <c r="G571" s="268">
        <f t="shared" ref="G571:J571" si="81">G573+G579+G580+G577+G581+G592+G593+G594+G576</f>
        <v>0</v>
      </c>
      <c r="H571" s="268">
        <f t="shared" si="81"/>
        <v>75620</v>
      </c>
      <c r="I571" s="268">
        <f>I592</f>
        <v>-30000</v>
      </c>
      <c r="J571" s="268">
        <f t="shared" si="81"/>
        <v>0</v>
      </c>
      <c r="K571" s="268">
        <f t="shared" si="73"/>
        <v>1420000</v>
      </c>
      <c r="L571" s="268">
        <f>L573+L579+L580+L577+L581+L592+L593+L594+L576+L595</f>
        <v>1882000</v>
      </c>
      <c r="M571" s="268">
        <f t="shared" si="74"/>
        <v>507620</v>
      </c>
      <c r="N571" s="157">
        <f t="shared" si="75"/>
        <v>0.36934472271133167</v>
      </c>
      <c r="O571" s="268">
        <f t="shared" si="76"/>
        <v>462000</v>
      </c>
      <c r="P571" s="157">
        <f t="shared" si="77"/>
        <v>0.32535211267605635</v>
      </c>
    </row>
    <row r="572" spans="1:16" s="484" customFormat="1" ht="14.4">
      <c r="A572" s="552"/>
      <c r="B572" s="552"/>
      <c r="C572" s="562"/>
      <c r="D572" s="562"/>
      <c r="E572" s="130" t="s">
        <v>47</v>
      </c>
      <c r="F572" s="124"/>
      <c r="G572" s="607"/>
      <c r="H572" s="607"/>
      <c r="I572" s="719"/>
      <c r="J572" s="607"/>
      <c r="K572" s="124">
        <f t="shared" si="73"/>
        <v>0</v>
      </c>
      <c r="L572" s="507">
        <v>70000</v>
      </c>
      <c r="M572" s="507">
        <f t="shared" si="74"/>
        <v>70000</v>
      </c>
      <c r="N572" s="649"/>
      <c r="O572" s="507">
        <f t="shared" si="76"/>
        <v>70000</v>
      </c>
      <c r="P572" s="649"/>
    </row>
    <row r="573" spans="1:16">
      <c r="A573" s="482"/>
      <c r="B573" s="482"/>
      <c r="C573" s="537" t="s">
        <v>1001</v>
      </c>
      <c r="D573" s="537" t="s">
        <v>977</v>
      </c>
      <c r="E573" s="331" t="s">
        <v>453</v>
      </c>
      <c r="F573" s="328">
        <v>123000</v>
      </c>
      <c r="G573" s="135"/>
      <c r="H573" s="328">
        <v>39000</v>
      </c>
      <c r="I573" s="328"/>
      <c r="J573" s="135"/>
      <c r="K573" s="328">
        <f t="shared" si="73"/>
        <v>162000</v>
      </c>
      <c r="L573" s="328">
        <v>200000</v>
      </c>
      <c r="M573" s="328">
        <f t="shared" si="74"/>
        <v>77000</v>
      </c>
      <c r="N573" s="299">
        <f t="shared" si="75"/>
        <v>0.62601626016260159</v>
      </c>
      <c r="O573" s="328">
        <f t="shared" si="76"/>
        <v>38000</v>
      </c>
      <c r="P573" s="299">
        <f t="shared" si="77"/>
        <v>0.23456790123456789</v>
      </c>
    </row>
    <row r="574" spans="1:16">
      <c r="A574" s="482"/>
      <c r="B574" s="482"/>
      <c r="E574" s="378" t="s">
        <v>428</v>
      </c>
      <c r="F574" s="277">
        <v>25000</v>
      </c>
      <c r="G574" s="135"/>
      <c r="H574" s="277"/>
      <c r="I574" s="277"/>
      <c r="J574" s="135"/>
      <c r="K574" s="277">
        <f t="shared" si="73"/>
        <v>25000</v>
      </c>
      <c r="L574" s="277">
        <v>25000</v>
      </c>
      <c r="M574" s="277">
        <f t="shared" si="74"/>
        <v>0</v>
      </c>
      <c r="N574" s="278">
        <f t="shared" si="75"/>
        <v>0</v>
      </c>
      <c r="O574" s="277">
        <f t="shared" si="76"/>
        <v>0</v>
      </c>
      <c r="P574" s="278">
        <f t="shared" si="77"/>
        <v>0</v>
      </c>
    </row>
    <row r="575" spans="1:16">
      <c r="A575" s="482"/>
      <c r="B575" s="482"/>
      <c r="E575" s="379" t="s">
        <v>429</v>
      </c>
      <c r="F575" s="277">
        <v>5000</v>
      </c>
      <c r="G575" s="135"/>
      <c r="H575" s="277"/>
      <c r="I575" s="277"/>
      <c r="J575" s="135"/>
      <c r="K575" s="277">
        <f t="shared" si="73"/>
        <v>5000</v>
      </c>
      <c r="L575" s="277">
        <v>0</v>
      </c>
      <c r="M575" s="277">
        <f t="shared" si="74"/>
        <v>-5000</v>
      </c>
      <c r="N575" s="278">
        <f t="shared" si="75"/>
        <v>-1</v>
      </c>
      <c r="O575" s="277">
        <f t="shared" si="76"/>
        <v>-5000</v>
      </c>
      <c r="P575" s="278">
        <f t="shared" si="77"/>
        <v>-1</v>
      </c>
    </row>
    <row r="576" spans="1:16">
      <c r="A576" s="482"/>
      <c r="B576" s="482"/>
      <c r="C576" s="537"/>
      <c r="D576" s="537"/>
      <c r="E576" s="183" t="s">
        <v>235</v>
      </c>
      <c r="F576" s="277">
        <v>65000</v>
      </c>
      <c r="G576" s="135"/>
      <c r="H576" s="135"/>
      <c r="I576" s="136"/>
      <c r="J576" s="135"/>
      <c r="K576" s="277">
        <f t="shared" si="73"/>
        <v>65000</v>
      </c>
      <c r="L576" s="277">
        <v>65000</v>
      </c>
      <c r="M576" s="277">
        <f t="shared" si="74"/>
        <v>0</v>
      </c>
      <c r="N576" s="278">
        <f t="shared" si="75"/>
        <v>0</v>
      </c>
      <c r="O576" s="277">
        <f t="shared" si="76"/>
        <v>0</v>
      </c>
      <c r="P576" s="278">
        <f t="shared" si="77"/>
        <v>0</v>
      </c>
    </row>
    <row r="577" spans="1:16">
      <c r="A577" s="482"/>
      <c r="B577" s="482"/>
      <c r="C577" s="537" t="s">
        <v>1001</v>
      </c>
      <c r="D577" s="537" t="s">
        <v>977</v>
      </c>
      <c r="E577" s="183" t="s">
        <v>1040</v>
      </c>
      <c r="F577" s="277"/>
      <c r="G577" s="135"/>
      <c r="H577" s="135"/>
      <c r="I577" s="136"/>
      <c r="J577" s="135"/>
      <c r="K577" s="277">
        <f t="shared" si="73"/>
        <v>0</v>
      </c>
      <c r="L577" s="277">
        <v>290000</v>
      </c>
      <c r="M577" s="277">
        <f t="shared" si="74"/>
        <v>290000</v>
      </c>
      <c r="N577" s="278"/>
      <c r="O577" s="277">
        <f t="shared" si="76"/>
        <v>290000</v>
      </c>
      <c r="P577" s="278"/>
    </row>
    <row r="578" spans="1:16">
      <c r="A578" s="482"/>
      <c r="B578" s="482"/>
      <c r="E578" s="374" t="s">
        <v>516</v>
      </c>
      <c r="F578" s="277"/>
      <c r="G578" s="135"/>
      <c r="H578" s="135"/>
      <c r="I578" s="136"/>
      <c r="J578" s="135"/>
      <c r="K578" s="277">
        <f t="shared" si="73"/>
        <v>0</v>
      </c>
      <c r="L578" s="277">
        <v>0</v>
      </c>
      <c r="M578" s="277">
        <f t="shared" si="74"/>
        <v>0</v>
      </c>
      <c r="N578" s="278"/>
      <c r="O578" s="277">
        <f t="shared" si="76"/>
        <v>0</v>
      </c>
      <c r="P578" s="278"/>
    </row>
    <row r="579" spans="1:16">
      <c r="A579" s="482"/>
      <c r="B579" s="482"/>
      <c r="C579" s="537" t="s">
        <v>1001</v>
      </c>
      <c r="D579" s="537" t="s">
        <v>977</v>
      </c>
      <c r="E579" s="297" t="s">
        <v>229</v>
      </c>
      <c r="F579" s="298">
        <v>756380</v>
      </c>
      <c r="G579" s="135"/>
      <c r="H579" s="298">
        <v>66620</v>
      </c>
      <c r="I579" s="298"/>
      <c r="J579" s="135"/>
      <c r="K579" s="298">
        <f t="shared" si="73"/>
        <v>823000</v>
      </c>
      <c r="L579" s="298">
        <v>825000</v>
      </c>
      <c r="M579" s="298">
        <f t="shared" si="74"/>
        <v>68620</v>
      </c>
      <c r="N579" s="299">
        <f t="shared" si="75"/>
        <v>9.0721594965493535E-2</v>
      </c>
      <c r="O579" s="298">
        <f t="shared" si="76"/>
        <v>2000</v>
      </c>
      <c r="P579" s="299">
        <f t="shared" si="77"/>
        <v>2.4301336573511541E-3</v>
      </c>
    </row>
    <row r="580" spans="1:16">
      <c r="A580" s="482"/>
      <c r="B580" s="482"/>
      <c r="C580" s="537" t="s">
        <v>1001</v>
      </c>
      <c r="D580" s="537" t="s">
        <v>977</v>
      </c>
      <c r="E580" s="297" t="s">
        <v>231</v>
      </c>
      <c r="F580" s="298">
        <v>10000</v>
      </c>
      <c r="G580" s="135"/>
      <c r="H580" s="135"/>
      <c r="I580" s="136"/>
      <c r="J580" s="135"/>
      <c r="K580" s="298">
        <f t="shared" si="73"/>
        <v>10000</v>
      </c>
      <c r="L580" s="298">
        <v>0</v>
      </c>
      <c r="M580" s="298">
        <f t="shared" si="74"/>
        <v>-10000</v>
      </c>
      <c r="N580" s="299">
        <f t="shared" si="75"/>
        <v>-1</v>
      </c>
      <c r="O580" s="298">
        <f t="shared" si="76"/>
        <v>-10000</v>
      </c>
      <c r="P580" s="299">
        <f t="shared" si="77"/>
        <v>-1</v>
      </c>
    </row>
    <row r="581" spans="1:16">
      <c r="A581" s="482"/>
      <c r="B581" s="482"/>
      <c r="C581" s="537" t="s">
        <v>1001</v>
      </c>
      <c r="D581" s="537" t="s">
        <v>977</v>
      </c>
      <c r="E581" s="297" t="s">
        <v>879</v>
      </c>
      <c r="F581" s="298">
        <v>300000</v>
      </c>
      <c r="G581" s="135"/>
      <c r="H581" s="298">
        <v>-30000</v>
      </c>
      <c r="I581" s="298"/>
      <c r="J581" s="298"/>
      <c r="K581" s="298">
        <f t="shared" si="73"/>
        <v>270000</v>
      </c>
      <c r="L581" s="298">
        <v>300000</v>
      </c>
      <c r="M581" s="298">
        <f t="shared" si="74"/>
        <v>0</v>
      </c>
      <c r="N581" s="299">
        <f t="shared" si="75"/>
        <v>0</v>
      </c>
      <c r="O581" s="298">
        <f t="shared" si="76"/>
        <v>30000</v>
      </c>
      <c r="P581" s="299">
        <f t="shared" si="77"/>
        <v>0.1111111111111111</v>
      </c>
    </row>
    <row r="582" spans="1:16">
      <c r="A582" s="482"/>
      <c r="B582" s="482"/>
      <c r="E582" s="374" t="s">
        <v>880</v>
      </c>
      <c r="F582" s="277">
        <v>10000</v>
      </c>
      <c r="G582" s="135"/>
      <c r="H582" s="135"/>
      <c r="I582" s="136"/>
      <c r="J582" s="135"/>
      <c r="K582" s="277">
        <f t="shared" si="73"/>
        <v>10000</v>
      </c>
      <c r="L582" s="277">
        <v>0</v>
      </c>
      <c r="M582" s="277">
        <f t="shared" si="74"/>
        <v>-10000</v>
      </c>
      <c r="N582" s="278">
        <f t="shared" si="75"/>
        <v>-1</v>
      </c>
      <c r="O582" s="277">
        <f t="shared" si="76"/>
        <v>-10000</v>
      </c>
      <c r="P582" s="278">
        <f t="shared" si="77"/>
        <v>-1</v>
      </c>
    </row>
    <row r="583" spans="1:16">
      <c r="A583" s="482"/>
      <c r="B583" s="482"/>
      <c r="E583" s="375" t="s">
        <v>881</v>
      </c>
      <c r="F583" s="277"/>
      <c r="G583" s="135"/>
      <c r="H583" s="277">
        <v>15000</v>
      </c>
      <c r="I583" s="277"/>
      <c r="J583" s="135"/>
      <c r="K583" s="277">
        <f t="shared" si="73"/>
        <v>15000</v>
      </c>
      <c r="L583" s="277">
        <v>0</v>
      </c>
      <c r="M583" s="277">
        <f t="shared" si="74"/>
        <v>0</v>
      </c>
      <c r="N583" s="278"/>
      <c r="O583" s="277">
        <f t="shared" si="76"/>
        <v>-15000</v>
      </c>
      <c r="P583" s="278">
        <f t="shared" si="77"/>
        <v>-1</v>
      </c>
    </row>
    <row r="584" spans="1:16">
      <c r="A584" s="482"/>
      <c r="B584" s="482"/>
      <c r="E584" s="375" t="s">
        <v>882</v>
      </c>
      <c r="F584" s="277"/>
      <c r="G584" s="135"/>
      <c r="H584" s="277">
        <v>16500</v>
      </c>
      <c r="I584" s="277"/>
      <c r="J584" s="135"/>
      <c r="K584" s="277">
        <f t="shared" ref="K584:K647" si="82">F584+G584+H584+J584+I584</f>
        <v>16500</v>
      </c>
      <c r="L584" s="277">
        <v>0</v>
      </c>
      <c r="M584" s="277">
        <f t="shared" ref="M584:M647" si="83">L584-F584</f>
        <v>0</v>
      </c>
      <c r="N584" s="278"/>
      <c r="O584" s="277">
        <f t="shared" ref="O584:O647" si="84">L584-K584</f>
        <v>-16500</v>
      </c>
      <c r="P584" s="278">
        <f t="shared" ref="P584:P647" si="85">O584/K584</f>
        <v>-1</v>
      </c>
    </row>
    <row r="585" spans="1:16">
      <c r="A585" s="482"/>
      <c r="B585" s="482"/>
      <c r="E585" s="375" t="s">
        <v>883</v>
      </c>
      <c r="F585" s="277"/>
      <c r="G585" s="135"/>
      <c r="H585" s="277">
        <v>4000</v>
      </c>
      <c r="I585" s="277"/>
      <c r="J585" s="135"/>
      <c r="K585" s="277">
        <f t="shared" si="82"/>
        <v>4000</v>
      </c>
      <c r="L585" s="277">
        <v>0</v>
      </c>
      <c r="M585" s="277">
        <f t="shared" si="83"/>
        <v>0</v>
      </c>
      <c r="N585" s="278"/>
      <c r="O585" s="277">
        <f t="shared" si="84"/>
        <v>-4000</v>
      </c>
      <c r="P585" s="278">
        <f t="shared" si="85"/>
        <v>-1</v>
      </c>
    </row>
    <row r="586" spans="1:16">
      <c r="A586" s="482"/>
      <c r="B586" s="482"/>
      <c r="E586" s="375" t="s">
        <v>884</v>
      </c>
      <c r="F586" s="277"/>
      <c r="G586" s="135"/>
      <c r="H586" s="277">
        <v>11500</v>
      </c>
      <c r="I586" s="277"/>
      <c r="J586" s="135"/>
      <c r="K586" s="277">
        <f t="shared" si="82"/>
        <v>11500</v>
      </c>
      <c r="L586" s="277">
        <v>0</v>
      </c>
      <c r="M586" s="277">
        <f t="shared" si="83"/>
        <v>0</v>
      </c>
      <c r="N586" s="278"/>
      <c r="O586" s="277">
        <f t="shared" si="84"/>
        <v>-11500</v>
      </c>
      <c r="P586" s="278">
        <f t="shared" si="85"/>
        <v>-1</v>
      </c>
    </row>
    <row r="587" spans="1:16">
      <c r="A587" s="482"/>
      <c r="B587" s="482"/>
      <c r="E587" s="375" t="s">
        <v>885</v>
      </c>
      <c r="F587" s="277"/>
      <c r="G587" s="135"/>
      <c r="H587" s="277">
        <v>3000</v>
      </c>
      <c r="I587" s="277"/>
      <c r="J587" s="135"/>
      <c r="K587" s="277">
        <f t="shared" si="82"/>
        <v>3000</v>
      </c>
      <c r="L587" s="277">
        <v>0</v>
      </c>
      <c r="M587" s="277">
        <f t="shared" si="83"/>
        <v>0</v>
      </c>
      <c r="N587" s="278"/>
      <c r="O587" s="277">
        <f t="shared" si="84"/>
        <v>-3000</v>
      </c>
      <c r="P587" s="278">
        <f t="shared" si="85"/>
        <v>-1</v>
      </c>
    </row>
    <row r="588" spans="1:16">
      <c r="A588" s="482"/>
      <c r="B588" s="482"/>
      <c r="E588" s="375" t="s">
        <v>886</v>
      </c>
      <c r="F588" s="277"/>
      <c r="G588" s="135"/>
      <c r="H588" s="277">
        <v>20000</v>
      </c>
      <c r="I588" s="277"/>
      <c r="J588" s="135"/>
      <c r="K588" s="277">
        <f t="shared" si="82"/>
        <v>20000</v>
      </c>
      <c r="L588" s="277">
        <v>0</v>
      </c>
      <c r="M588" s="277">
        <f t="shared" si="83"/>
        <v>0</v>
      </c>
      <c r="N588" s="278"/>
      <c r="O588" s="277">
        <f t="shared" si="84"/>
        <v>-20000</v>
      </c>
      <c r="P588" s="278">
        <f t="shared" si="85"/>
        <v>-1</v>
      </c>
    </row>
    <row r="589" spans="1:16">
      <c r="A589" s="482"/>
      <c r="B589" s="482"/>
      <c r="E589" s="376" t="s">
        <v>887</v>
      </c>
      <c r="F589" s="277"/>
      <c r="G589" s="135"/>
      <c r="H589" s="286">
        <v>7500</v>
      </c>
      <c r="I589" s="286"/>
      <c r="J589" s="135"/>
      <c r="K589" s="277">
        <f t="shared" si="82"/>
        <v>7500</v>
      </c>
      <c r="L589" s="277">
        <v>0</v>
      </c>
      <c r="M589" s="277">
        <f t="shared" si="83"/>
        <v>0</v>
      </c>
      <c r="N589" s="278"/>
      <c r="O589" s="277">
        <f t="shared" si="84"/>
        <v>-7500</v>
      </c>
      <c r="P589" s="278">
        <f t="shared" si="85"/>
        <v>-1</v>
      </c>
    </row>
    <row r="590" spans="1:16">
      <c r="A590" s="482"/>
      <c r="B590" s="482"/>
      <c r="E590" s="375" t="s">
        <v>888</v>
      </c>
      <c r="F590" s="277"/>
      <c r="G590" s="135"/>
      <c r="H590" s="277">
        <v>30000</v>
      </c>
      <c r="I590" s="277"/>
      <c r="J590" s="135"/>
      <c r="K590" s="277">
        <f t="shared" si="82"/>
        <v>30000</v>
      </c>
      <c r="L590" s="277">
        <v>0</v>
      </c>
      <c r="M590" s="277">
        <f t="shared" si="83"/>
        <v>0</v>
      </c>
      <c r="N590" s="278"/>
      <c r="O590" s="277">
        <f t="shared" si="84"/>
        <v>-30000</v>
      </c>
      <c r="P590" s="278">
        <f t="shared" si="85"/>
        <v>-1</v>
      </c>
    </row>
    <row r="591" spans="1:16">
      <c r="A591" s="482"/>
      <c r="B591" s="482"/>
      <c r="E591" s="375" t="s">
        <v>889</v>
      </c>
      <c r="F591" s="277"/>
      <c r="G591" s="135"/>
      <c r="H591" s="277">
        <v>25000</v>
      </c>
      <c r="I591" s="277"/>
      <c r="J591" s="135"/>
      <c r="K591" s="277">
        <f t="shared" si="82"/>
        <v>25000</v>
      </c>
      <c r="L591" s="277">
        <v>0</v>
      </c>
      <c r="M591" s="277">
        <f t="shared" si="83"/>
        <v>0</v>
      </c>
      <c r="N591" s="278"/>
      <c r="O591" s="277">
        <f t="shared" si="84"/>
        <v>-25000</v>
      </c>
      <c r="P591" s="278">
        <f t="shared" si="85"/>
        <v>-1</v>
      </c>
    </row>
    <row r="592" spans="1:16" s="483" customFormat="1" ht="14.4">
      <c r="A592" s="482"/>
      <c r="B592" s="482"/>
      <c r="C592" s="537" t="s">
        <v>1001</v>
      </c>
      <c r="D592" s="537" t="s">
        <v>991</v>
      </c>
      <c r="E592" s="297" t="s">
        <v>1041</v>
      </c>
      <c r="F592" s="304">
        <v>30000</v>
      </c>
      <c r="G592" s="606"/>
      <c r="H592" s="606"/>
      <c r="I592" s="277">
        <v>-30000</v>
      </c>
      <c r="J592" s="606"/>
      <c r="K592" s="277">
        <f t="shared" si="82"/>
        <v>0</v>
      </c>
      <c r="L592" s="304">
        <v>60000</v>
      </c>
      <c r="M592" s="304">
        <f t="shared" si="83"/>
        <v>30000</v>
      </c>
      <c r="N592" s="305">
        <f t="shared" ref="N592:N647" si="86">M592/F592</f>
        <v>1</v>
      </c>
      <c r="O592" s="304">
        <f t="shared" si="84"/>
        <v>60000</v>
      </c>
      <c r="P592" s="305"/>
    </row>
    <row r="593" spans="1:16">
      <c r="A593" s="482"/>
      <c r="B593" s="482"/>
      <c r="C593" s="537" t="s">
        <v>1001</v>
      </c>
      <c r="D593" s="537" t="s">
        <v>947</v>
      </c>
      <c r="E593" s="297" t="s">
        <v>233</v>
      </c>
      <c r="F593" s="298">
        <v>60000</v>
      </c>
      <c r="G593" s="135"/>
      <c r="H593" s="298"/>
      <c r="I593" s="298"/>
      <c r="J593" s="135"/>
      <c r="K593" s="298">
        <f t="shared" si="82"/>
        <v>60000</v>
      </c>
      <c r="L593" s="298">
        <v>72000</v>
      </c>
      <c r="M593" s="298">
        <f t="shared" si="83"/>
        <v>12000</v>
      </c>
      <c r="N593" s="299">
        <f t="shared" si="86"/>
        <v>0.2</v>
      </c>
      <c r="O593" s="298">
        <f t="shared" si="84"/>
        <v>12000</v>
      </c>
      <c r="P593" s="299">
        <f t="shared" si="85"/>
        <v>0.2</v>
      </c>
    </row>
    <row r="594" spans="1:16">
      <c r="A594" s="482"/>
      <c r="B594" s="482"/>
      <c r="C594" s="537" t="s">
        <v>1001</v>
      </c>
      <c r="D594" s="537" t="s">
        <v>947</v>
      </c>
      <c r="E594" s="297" t="s">
        <v>394</v>
      </c>
      <c r="F594" s="298">
        <v>30000</v>
      </c>
      <c r="G594" s="135"/>
      <c r="H594" s="298"/>
      <c r="I594" s="298"/>
      <c r="J594" s="135"/>
      <c r="K594" s="298">
        <f t="shared" si="82"/>
        <v>30000</v>
      </c>
      <c r="L594" s="298">
        <v>45000</v>
      </c>
      <c r="M594" s="298">
        <f t="shared" si="83"/>
        <v>15000</v>
      </c>
      <c r="N594" s="299">
        <f t="shared" si="86"/>
        <v>0.5</v>
      </c>
      <c r="O594" s="298">
        <f t="shared" si="84"/>
        <v>15000</v>
      </c>
      <c r="P594" s="299">
        <f t="shared" si="85"/>
        <v>0.5</v>
      </c>
    </row>
    <row r="595" spans="1:16">
      <c r="A595" s="482"/>
      <c r="B595" s="482"/>
      <c r="C595" s="537" t="s">
        <v>1001</v>
      </c>
      <c r="D595" s="537" t="s">
        <v>947</v>
      </c>
      <c r="E595" s="297" t="s">
        <v>1062</v>
      </c>
      <c r="F595" s="298"/>
      <c r="G595" s="135"/>
      <c r="H595" s="298"/>
      <c r="I595" s="298"/>
      <c r="J595" s="135"/>
      <c r="K595" s="298">
        <f t="shared" si="82"/>
        <v>0</v>
      </c>
      <c r="L595" s="298">
        <v>25000</v>
      </c>
      <c r="M595" s="298">
        <f t="shared" si="83"/>
        <v>25000</v>
      </c>
      <c r="N595" s="299"/>
      <c r="O595" s="298">
        <f t="shared" si="84"/>
        <v>25000</v>
      </c>
      <c r="P595" s="299"/>
    </row>
    <row r="596" spans="1:16">
      <c r="E596" s="10"/>
      <c r="F596" s="135"/>
      <c r="G596" s="135"/>
      <c r="H596" s="135"/>
      <c r="I596" s="136"/>
      <c r="J596" s="135"/>
      <c r="K596" s="135">
        <f t="shared" si="82"/>
        <v>0</v>
      </c>
      <c r="L596" s="135">
        <v>0</v>
      </c>
      <c r="M596" s="135">
        <f t="shared" si="83"/>
        <v>0</v>
      </c>
      <c r="N596" s="157"/>
      <c r="O596" s="135">
        <f t="shared" si="84"/>
        <v>0</v>
      </c>
      <c r="P596" s="157"/>
    </row>
    <row r="597" spans="1:16" s="10" customFormat="1">
      <c r="A597" s="135" t="s">
        <v>672</v>
      </c>
      <c r="B597" s="135" t="s">
        <v>601</v>
      </c>
      <c r="C597" s="135"/>
      <c r="D597" s="135"/>
      <c r="E597" s="273" t="s">
        <v>232</v>
      </c>
      <c r="F597" s="268">
        <f>F603+F598+F600+F601</f>
        <v>564520</v>
      </c>
      <c r="G597" s="268">
        <f>G603+G598+G600+G601</f>
        <v>0</v>
      </c>
      <c r="H597" s="268">
        <f>H603+H598+H600+H601</f>
        <v>205000</v>
      </c>
      <c r="I597" s="268"/>
      <c r="J597" s="268">
        <f>J603+J598+J600+J601</f>
        <v>0</v>
      </c>
      <c r="K597" s="268">
        <f t="shared" si="82"/>
        <v>769520</v>
      </c>
      <c r="L597" s="268">
        <f>L598+L599+L600+L603</f>
        <v>849190</v>
      </c>
      <c r="M597" s="268">
        <f t="shared" si="83"/>
        <v>284670</v>
      </c>
      <c r="N597" s="157">
        <f t="shared" si="86"/>
        <v>0.50426911358322113</v>
      </c>
      <c r="O597" s="268">
        <f t="shared" si="84"/>
        <v>79670</v>
      </c>
      <c r="P597" s="157">
        <f t="shared" si="85"/>
        <v>0.1035320719409502</v>
      </c>
    </row>
    <row r="598" spans="1:16">
      <c r="A598" s="482"/>
      <c r="B598" s="482"/>
      <c r="C598" s="537" t="s">
        <v>1001</v>
      </c>
      <c r="D598" s="537" t="s">
        <v>947</v>
      </c>
      <c r="E598" s="183" t="s">
        <v>891</v>
      </c>
      <c r="F598" s="298">
        <v>175000</v>
      </c>
      <c r="G598" s="135"/>
      <c r="H598" s="298">
        <f>30000+100000</f>
        <v>130000</v>
      </c>
      <c r="I598" s="298">
        <v>9110</v>
      </c>
      <c r="J598" s="135"/>
      <c r="K598" s="298">
        <f t="shared" si="82"/>
        <v>314110</v>
      </c>
      <c r="L598" s="298">
        <v>254190</v>
      </c>
      <c r="M598" s="298">
        <f t="shared" si="83"/>
        <v>79190</v>
      </c>
      <c r="N598" s="299">
        <f t="shared" si="86"/>
        <v>0.4525142857142857</v>
      </c>
      <c r="O598" s="298">
        <f t="shared" si="84"/>
        <v>-59920</v>
      </c>
      <c r="P598" s="299">
        <f t="shared" si="85"/>
        <v>-0.19076119830632582</v>
      </c>
    </row>
    <row r="599" spans="1:16">
      <c r="A599" s="482"/>
      <c r="B599" s="482"/>
      <c r="C599" s="537"/>
      <c r="D599" s="537"/>
      <c r="E599" s="183" t="s">
        <v>1201</v>
      </c>
      <c r="F599" s="298"/>
      <c r="G599" s="135"/>
      <c r="H599" s="298"/>
      <c r="I599" s="298"/>
      <c r="J599" s="135"/>
      <c r="K599" s="298">
        <f t="shared" si="82"/>
        <v>0</v>
      </c>
      <c r="L599" s="298">
        <v>185000</v>
      </c>
      <c r="M599" s="298">
        <f t="shared" si="83"/>
        <v>185000</v>
      </c>
      <c r="N599" s="299"/>
      <c r="O599" s="298">
        <f t="shared" si="84"/>
        <v>185000</v>
      </c>
      <c r="P599" s="299"/>
    </row>
    <row r="600" spans="1:16">
      <c r="C600" s="537" t="s">
        <v>1001</v>
      </c>
      <c r="D600" s="537" t="s">
        <v>947</v>
      </c>
      <c r="E600" s="183" t="s">
        <v>1042</v>
      </c>
      <c r="F600" s="298">
        <v>218520</v>
      </c>
      <c r="G600" s="135"/>
      <c r="H600" s="298">
        <v>71500</v>
      </c>
      <c r="I600" s="298"/>
      <c r="J600" s="135"/>
      <c r="K600" s="298">
        <f t="shared" si="82"/>
        <v>290020</v>
      </c>
      <c r="L600" s="298">
        <v>340000</v>
      </c>
      <c r="M600" s="298">
        <f t="shared" si="83"/>
        <v>121480</v>
      </c>
      <c r="N600" s="299">
        <f t="shared" si="86"/>
        <v>0.55592165476844224</v>
      </c>
      <c r="O600" s="298">
        <f t="shared" si="84"/>
        <v>49980</v>
      </c>
      <c r="P600" s="299">
        <f t="shared" si="85"/>
        <v>0.17233294255568582</v>
      </c>
    </row>
    <row r="601" spans="1:16" s="483" customFormat="1" ht="14.4">
      <c r="A601" s="482"/>
      <c r="B601" s="482"/>
      <c r="C601" s="708"/>
      <c r="D601" s="708"/>
      <c r="E601" s="709" t="s">
        <v>1043</v>
      </c>
      <c r="F601" s="298">
        <v>116000</v>
      </c>
      <c r="G601" s="298">
        <v>0</v>
      </c>
      <c r="H601" s="298">
        <v>-11000</v>
      </c>
      <c r="I601" s="298"/>
      <c r="J601" s="298">
        <v>0</v>
      </c>
      <c r="K601" s="298">
        <f t="shared" si="82"/>
        <v>105000</v>
      </c>
      <c r="L601" s="298">
        <v>60000</v>
      </c>
      <c r="M601" s="298">
        <f t="shared" si="83"/>
        <v>-56000</v>
      </c>
      <c r="N601" s="299">
        <f t="shared" si="86"/>
        <v>-0.48275862068965519</v>
      </c>
      <c r="O601" s="298">
        <f t="shared" si="84"/>
        <v>-45000</v>
      </c>
      <c r="P601" s="299">
        <f t="shared" si="85"/>
        <v>-0.42857142857142855</v>
      </c>
    </row>
    <row r="602" spans="1:16" s="483" customFormat="1" ht="14.4">
      <c r="A602" s="482"/>
      <c r="B602" s="482"/>
      <c r="C602" s="708"/>
      <c r="D602" s="708"/>
      <c r="E602" s="389" t="s">
        <v>234</v>
      </c>
      <c r="F602" s="298">
        <v>15000</v>
      </c>
      <c r="G602" s="606"/>
      <c r="H602" s="298"/>
      <c r="I602" s="298"/>
      <c r="J602" s="606"/>
      <c r="K602" s="298">
        <f t="shared" si="82"/>
        <v>15000</v>
      </c>
      <c r="L602" s="298">
        <v>60000</v>
      </c>
      <c r="M602" s="298">
        <f t="shared" si="83"/>
        <v>45000</v>
      </c>
      <c r="N602" s="299">
        <f t="shared" si="86"/>
        <v>3</v>
      </c>
      <c r="O602" s="298">
        <f t="shared" si="84"/>
        <v>45000</v>
      </c>
      <c r="P602" s="299">
        <f t="shared" si="85"/>
        <v>3</v>
      </c>
    </row>
    <row r="603" spans="1:16">
      <c r="A603" s="482"/>
      <c r="B603" s="482"/>
      <c r="C603" s="537" t="s">
        <v>1001</v>
      </c>
      <c r="D603" s="537" t="s">
        <v>991</v>
      </c>
      <c r="E603" s="183" t="s">
        <v>890</v>
      </c>
      <c r="F603" s="298">
        <v>55000</v>
      </c>
      <c r="G603" s="135"/>
      <c r="H603" s="298">
        <v>14500</v>
      </c>
      <c r="I603" s="298"/>
      <c r="J603" s="135"/>
      <c r="K603" s="298">
        <f t="shared" si="82"/>
        <v>69500</v>
      </c>
      <c r="L603" s="298">
        <v>70000</v>
      </c>
      <c r="M603" s="298">
        <f t="shared" si="83"/>
        <v>15000</v>
      </c>
      <c r="N603" s="299">
        <f t="shared" si="86"/>
        <v>0.27272727272727271</v>
      </c>
      <c r="O603" s="298">
        <f t="shared" si="84"/>
        <v>500</v>
      </c>
      <c r="P603" s="299">
        <f t="shared" si="85"/>
        <v>7.1942446043165471E-3</v>
      </c>
    </row>
    <row r="604" spans="1:16">
      <c r="E604" s="10"/>
      <c r="F604" s="135"/>
      <c r="G604" s="135"/>
      <c r="H604" s="135"/>
      <c r="I604" s="136"/>
      <c r="J604" s="135"/>
      <c r="K604" s="135">
        <f t="shared" si="82"/>
        <v>0</v>
      </c>
      <c r="L604" s="135">
        <v>0</v>
      </c>
      <c r="M604" s="135">
        <f t="shared" si="83"/>
        <v>0</v>
      </c>
      <c r="N604" s="157"/>
      <c r="O604" s="135">
        <f t="shared" si="84"/>
        <v>0</v>
      </c>
      <c r="P604" s="157"/>
    </row>
    <row r="605" spans="1:16">
      <c r="A605" s="135" t="s">
        <v>672</v>
      </c>
      <c r="B605" s="135" t="s">
        <v>601</v>
      </c>
      <c r="C605" s="537" t="s">
        <v>1001</v>
      </c>
      <c r="D605" s="537" t="s">
        <v>977</v>
      </c>
      <c r="E605" s="273" t="s">
        <v>1044</v>
      </c>
      <c r="F605" s="268">
        <f>F607+F608+F609+F606</f>
        <v>23430</v>
      </c>
      <c r="G605" s="268">
        <f t="shared" ref="G605:L605" si="87">G607+G608+G609+G606</f>
        <v>0</v>
      </c>
      <c r="H605" s="268">
        <f t="shared" si="87"/>
        <v>0</v>
      </c>
      <c r="I605" s="268">
        <f t="shared" si="87"/>
        <v>0</v>
      </c>
      <c r="J605" s="268">
        <f t="shared" si="87"/>
        <v>0</v>
      </c>
      <c r="K605" s="268">
        <f t="shared" si="82"/>
        <v>23430</v>
      </c>
      <c r="L605" s="268">
        <f t="shared" si="87"/>
        <v>22430</v>
      </c>
      <c r="M605" s="268">
        <f t="shared" si="83"/>
        <v>-1000</v>
      </c>
      <c r="N605" s="157">
        <f t="shared" si="86"/>
        <v>-4.2680324370465213E-2</v>
      </c>
      <c r="O605" s="268">
        <f t="shared" si="84"/>
        <v>-1000</v>
      </c>
      <c r="P605" s="157">
        <f t="shared" si="85"/>
        <v>-4.2680324370465213E-2</v>
      </c>
    </row>
    <row r="606" spans="1:16">
      <c r="E606" s="297" t="s">
        <v>1045</v>
      </c>
      <c r="F606" s="298">
        <v>4430</v>
      </c>
      <c r="G606" s="135"/>
      <c r="H606" s="135"/>
      <c r="I606" s="136"/>
      <c r="J606" s="298"/>
      <c r="K606" s="298">
        <f t="shared" si="82"/>
        <v>4430</v>
      </c>
      <c r="L606" s="298">
        <v>4430</v>
      </c>
      <c r="M606" s="298">
        <f t="shared" si="83"/>
        <v>0</v>
      </c>
      <c r="N606" s="299">
        <f t="shared" si="86"/>
        <v>0</v>
      </c>
      <c r="O606" s="298">
        <f t="shared" si="84"/>
        <v>0</v>
      </c>
      <c r="P606" s="299">
        <f t="shared" si="85"/>
        <v>0</v>
      </c>
    </row>
    <row r="607" spans="1:16">
      <c r="A607" s="482"/>
      <c r="B607" s="482"/>
      <c r="E607" s="387" t="s">
        <v>227</v>
      </c>
      <c r="F607" s="298">
        <v>14000</v>
      </c>
      <c r="G607" s="135"/>
      <c r="H607" s="298"/>
      <c r="I607" s="298"/>
      <c r="J607" s="135"/>
      <c r="K607" s="298">
        <f t="shared" si="82"/>
        <v>14000</v>
      </c>
      <c r="L607" s="298">
        <v>14000</v>
      </c>
      <c r="M607" s="298">
        <f t="shared" si="83"/>
        <v>0</v>
      </c>
      <c r="N607" s="299">
        <f t="shared" si="86"/>
        <v>0</v>
      </c>
      <c r="O607" s="298">
        <f t="shared" si="84"/>
        <v>0</v>
      </c>
      <c r="P607" s="299">
        <f t="shared" si="85"/>
        <v>0</v>
      </c>
    </row>
    <row r="608" spans="1:16">
      <c r="A608" s="482"/>
      <c r="B608" s="482"/>
      <c r="E608" s="387" t="s">
        <v>877</v>
      </c>
      <c r="F608" s="298">
        <v>5000</v>
      </c>
      <c r="G608" s="135"/>
      <c r="H608" s="135"/>
      <c r="I608" s="136"/>
      <c r="J608" s="135"/>
      <c r="K608" s="298">
        <f t="shared" si="82"/>
        <v>5000</v>
      </c>
      <c r="L608" s="298">
        <v>0</v>
      </c>
      <c r="M608" s="298">
        <f t="shared" si="83"/>
        <v>-5000</v>
      </c>
      <c r="N608" s="299">
        <f t="shared" si="86"/>
        <v>-1</v>
      </c>
      <c r="O608" s="298">
        <f t="shared" si="84"/>
        <v>-5000</v>
      </c>
      <c r="P608" s="299">
        <f t="shared" si="85"/>
        <v>-1</v>
      </c>
    </row>
    <row r="609" spans="1:18">
      <c r="A609" s="482"/>
      <c r="B609" s="482"/>
      <c r="E609" s="387" t="s">
        <v>1046</v>
      </c>
      <c r="F609" s="298"/>
      <c r="G609" s="135"/>
      <c r="H609" s="135"/>
      <c r="I609" s="136"/>
      <c r="J609" s="135"/>
      <c r="K609" s="298">
        <f t="shared" si="82"/>
        <v>0</v>
      </c>
      <c r="L609" s="298">
        <v>4000</v>
      </c>
      <c r="M609" s="298">
        <f t="shared" si="83"/>
        <v>4000</v>
      </c>
      <c r="N609" s="299"/>
      <c r="O609" s="298">
        <f t="shared" si="84"/>
        <v>4000</v>
      </c>
      <c r="P609" s="299"/>
    </row>
    <row r="610" spans="1:18">
      <c r="E610" s="10"/>
      <c r="F610" s="135"/>
      <c r="G610" s="135"/>
      <c r="H610" s="135"/>
      <c r="I610" s="136"/>
      <c r="J610" s="135"/>
      <c r="K610" s="135">
        <f t="shared" si="82"/>
        <v>0</v>
      </c>
      <c r="L610" s="346">
        <v>0</v>
      </c>
      <c r="M610" s="346">
        <f t="shared" si="83"/>
        <v>0</v>
      </c>
      <c r="N610" s="347"/>
      <c r="O610" s="346">
        <f t="shared" si="84"/>
        <v>0</v>
      </c>
      <c r="P610" s="347"/>
    </row>
    <row r="611" spans="1:18">
      <c r="A611" s="135" t="s">
        <v>672</v>
      </c>
      <c r="B611" s="135" t="s">
        <v>601</v>
      </c>
      <c r="C611" s="537" t="s">
        <v>1001</v>
      </c>
      <c r="D611" s="537" t="s">
        <v>1005</v>
      </c>
      <c r="E611" s="273" t="s">
        <v>427</v>
      </c>
      <c r="F611" s="298">
        <v>67000</v>
      </c>
      <c r="G611" s="135"/>
      <c r="H611" s="298"/>
      <c r="I611" s="298"/>
      <c r="J611" s="135"/>
      <c r="K611" s="298">
        <f t="shared" si="82"/>
        <v>67000</v>
      </c>
      <c r="L611" s="346">
        <v>75000</v>
      </c>
      <c r="M611" s="346">
        <f t="shared" si="83"/>
        <v>8000</v>
      </c>
      <c r="N611" s="347">
        <f t="shared" si="86"/>
        <v>0.11940298507462686</v>
      </c>
      <c r="O611" s="346">
        <f t="shared" si="84"/>
        <v>8000</v>
      </c>
      <c r="P611" s="347">
        <f t="shared" si="85"/>
        <v>0.11940298507462686</v>
      </c>
    </row>
    <row r="612" spans="1:18">
      <c r="E612" s="10"/>
      <c r="F612" s="135"/>
      <c r="G612" s="135"/>
      <c r="H612" s="135"/>
      <c r="I612" s="136"/>
      <c r="J612" s="135"/>
      <c r="K612" s="135">
        <f t="shared" si="82"/>
        <v>0</v>
      </c>
      <c r="L612" s="346">
        <v>0</v>
      </c>
      <c r="M612" s="346">
        <f t="shared" si="83"/>
        <v>0</v>
      </c>
      <c r="N612" s="347"/>
      <c r="O612" s="346">
        <f t="shared" si="84"/>
        <v>0</v>
      </c>
      <c r="P612" s="347"/>
    </row>
    <row r="613" spans="1:18">
      <c r="A613" s="135" t="s">
        <v>672</v>
      </c>
      <c r="B613" s="135" t="s">
        <v>601</v>
      </c>
      <c r="C613" s="537" t="s">
        <v>1001</v>
      </c>
      <c r="D613" s="537" t="s">
        <v>947</v>
      </c>
      <c r="E613" s="273" t="s">
        <v>1047</v>
      </c>
      <c r="F613" s="135"/>
      <c r="G613" s="135"/>
      <c r="H613" s="135"/>
      <c r="I613" s="136"/>
      <c r="J613" s="135"/>
      <c r="K613" s="135">
        <f t="shared" si="82"/>
        <v>0</v>
      </c>
      <c r="L613" s="346">
        <v>20000</v>
      </c>
      <c r="M613" s="346">
        <f t="shared" si="83"/>
        <v>20000</v>
      </c>
      <c r="N613" s="347"/>
      <c r="O613" s="346">
        <f t="shared" si="84"/>
        <v>20000</v>
      </c>
      <c r="P613" s="347"/>
    </row>
    <row r="614" spans="1:18">
      <c r="E614" s="10"/>
      <c r="F614" s="135"/>
      <c r="G614" s="135"/>
      <c r="H614" s="135"/>
      <c r="I614" s="136"/>
      <c r="J614" s="135"/>
      <c r="K614" s="135">
        <f t="shared" si="82"/>
        <v>0</v>
      </c>
      <c r="L614" s="346">
        <v>0</v>
      </c>
      <c r="M614" s="346">
        <f t="shared" si="83"/>
        <v>0</v>
      </c>
      <c r="N614" s="347"/>
      <c r="O614" s="346">
        <f t="shared" si="84"/>
        <v>0</v>
      </c>
      <c r="P614" s="347"/>
    </row>
    <row r="615" spans="1:18">
      <c r="A615" s="135" t="s">
        <v>672</v>
      </c>
      <c r="B615" s="135" t="s">
        <v>601</v>
      </c>
      <c r="C615" s="537" t="s">
        <v>1001</v>
      </c>
      <c r="D615" s="537"/>
      <c r="E615" s="273" t="s">
        <v>878</v>
      </c>
      <c r="F615" s="136">
        <v>30000</v>
      </c>
      <c r="G615" s="136"/>
      <c r="H615" s="136">
        <v>-30000</v>
      </c>
      <c r="I615" s="136"/>
      <c r="J615" s="136"/>
      <c r="K615" s="136">
        <f t="shared" si="82"/>
        <v>0</v>
      </c>
      <c r="L615" s="136">
        <v>0</v>
      </c>
      <c r="M615" s="136">
        <f t="shared" si="83"/>
        <v>-30000</v>
      </c>
      <c r="N615" s="157">
        <f t="shared" si="86"/>
        <v>-1</v>
      </c>
      <c r="O615" s="136">
        <f t="shared" si="84"/>
        <v>0</v>
      </c>
      <c r="P615" s="157"/>
    </row>
    <row r="616" spans="1:18" customFormat="1">
      <c r="A616" s="77"/>
      <c r="B616" s="77"/>
      <c r="C616" s="482"/>
      <c r="D616" s="482"/>
      <c r="E616" s="10"/>
      <c r="F616" s="135"/>
      <c r="G616" s="135"/>
      <c r="H616" s="135"/>
      <c r="I616" s="136"/>
      <c r="J616" s="135"/>
      <c r="K616" s="135">
        <f t="shared" si="82"/>
        <v>0</v>
      </c>
      <c r="L616" s="135">
        <v>0</v>
      </c>
      <c r="M616" s="135">
        <f t="shared" si="83"/>
        <v>0</v>
      </c>
      <c r="N616" s="157"/>
      <c r="O616" s="135">
        <f t="shared" si="84"/>
        <v>0</v>
      </c>
      <c r="P616" s="157"/>
    </row>
    <row r="617" spans="1:18">
      <c r="A617" s="77" t="s">
        <v>659</v>
      </c>
      <c r="B617" s="77" t="s">
        <v>601</v>
      </c>
      <c r="C617" s="537" t="s">
        <v>1030</v>
      </c>
      <c r="D617" s="537" t="s">
        <v>983</v>
      </c>
      <c r="E617" s="273" t="s">
        <v>602</v>
      </c>
      <c r="F617" s="131">
        <f>SUM(F618:F638)</f>
        <v>2544260</v>
      </c>
      <c r="G617" s="135"/>
      <c r="H617" s="131">
        <v>240000</v>
      </c>
      <c r="I617" s="131"/>
      <c r="J617" s="135"/>
      <c r="K617" s="131">
        <f t="shared" si="82"/>
        <v>2784260</v>
      </c>
      <c r="L617" s="131">
        <f>SUM(L618:L638)</f>
        <v>2704260</v>
      </c>
      <c r="M617" s="131">
        <f t="shared" si="83"/>
        <v>160000</v>
      </c>
      <c r="N617" s="157">
        <f t="shared" si="86"/>
        <v>6.2886654665796737E-2</v>
      </c>
      <c r="O617" s="131">
        <f t="shared" si="84"/>
        <v>-80000</v>
      </c>
      <c r="P617" s="157">
        <f t="shared" si="85"/>
        <v>-2.8732948790702019E-2</v>
      </c>
      <c r="Q617" s="273"/>
      <c r="R617" s="131"/>
    </row>
    <row r="618" spans="1:18">
      <c r="E618" s="380" t="s">
        <v>522</v>
      </c>
      <c r="F618" s="381">
        <v>565000</v>
      </c>
      <c r="G618" s="135"/>
      <c r="H618" s="135"/>
      <c r="I618" s="381">
        <f>8000+10000</f>
        <v>18000</v>
      </c>
      <c r="J618" s="135"/>
      <c r="K618" s="381">
        <f t="shared" si="82"/>
        <v>583000</v>
      </c>
      <c r="L618" s="381">
        <v>715000</v>
      </c>
      <c r="M618" s="381">
        <f t="shared" si="83"/>
        <v>150000</v>
      </c>
      <c r="N618" s="299">
        <f t="shared" si="86"/>
        <v>0.26548672566371684</v>
      </c>
      <c r="O618" s="381">
        <f t="shared" si="84"/>
        <v>132000</v>
      </c>
      <c r="P618" s="299">
        <f t="shared" si="85"/>
        <v>0.22641509433962265</v>
      </c>
      <c r="Q618" s="707"/>
      <c r="R618" s="381"/>
    </row>
    <row r="619" spans="1:18">
      <c r="E619" s="384" t="s">
        <v>1179</v>
      </c>
      <c r="F619" s="381"/>
      <c r="G619" s="135"/>
      <c r="H619" s="135"/>
      <c r="I619" s="386">
        <v>10000</v>
      </c>
      <c r="J619" s="135"/>
      <c r="K619" s="381">
        <f t="shared" si="82"/>
        <v>10000</v>
      </c>
      <c r="L619" s="381">
        <v>0</v>
      </c>
      <c r="M619" s="381">
        <f t="shared" si="83"/>
        <v>0</v>
      </c>
      <c r="N619" s="299"/>
      <c r="O619" s="381">
        <f t="shared" si="84"/>
        <v>-10000</v>
      </c>
      <c r="P619" s="299">
        <f t="shared" si="85"/>
        <v>-1</v>
      </c>
      <c r="Q619" s="536"/>
      <c r="R619" s="381"/>
    </row>
    <row r="620" spans="1:18">
      <c r="E620" s="382" t="s">
        <v>325</v>
      </c>
      <c r="F620" s="383">
        <v>150000</v>
      </c>
      <c r="G620" s="135"/>
      <c r="H620" s="135"/>
      <c r="I620" s="136"/>
      <c r="J620" s="135"/>
      <c r="K620" s="383">
        <f t="shared" si="82"/>
        <v>150000</v>
      </c>
      <c r="L620" s="383">
        <v>150000</v>
      </c>
      <c r="M620" s="383">
        <f t="shared" si="83"/>
        <v>0</v>
      </c>
      <c r="N620" s="305">
        <f t="shared" si="86"/>
        <v>0</v>
      </c>
      <c r="O620" s="383">
        <f t="shared" si="84"/>
        <v>0</v>
      </c>
      <c r="P620" s="305">
        <f t="shared" si="85"/>
        <v>0</v>
      </c>
      <c r="Q620" s="536"/>
      <c r="R620" s="381"/>
    </row>
    <row r="621" spans="1:18">
      <c r="E621" s="382" t="s">
        <v>385</v>
      </c>
      <c r="F621" s="383">
        <v>150000</v>
      </c>
      <c r="G621" s="135"/>
      <c r="H621" s="135"/>
      <c r="I621" s="136"/>
      <c r="J621" s="135"/>
      <c r="K621" s="383">
        <f t="shared" si="82"/>
        <v>150000</v>
      </c>
      <c r="L621" s="383">
        <v>150000</v>
      </c>
      <c r="M621" s="383">
        <f t="shared" si="83"/>
        <v>0</v>
      </c>
      <c r="N621" s="305">
        <f t="shared" si="86"/>
        <v>0</v>
      </c>
      <c r="O621" s="383">
        <f t="shared" si="84"/>
        <v>0</v>
      </c>
      <c r="P621" s="305">
        <f t="shared" si="85"/>
        <v>0</v>
      </c>
      <c r="Q621" s="536"/>
      <c r="R621" s="381"/>
    </row>
    <row r="622" spans="1:18">
      <c r="E622" s="382" t="s">
        <v>892</v>
      </c>
      <c r="F622" s="383"/>
      <c r="G622" s="135"/>
      <c r="H622" s="383">
        <v>400000</v>
      </c>
      <c r="I622" s="383"/>
      <c r="J622" s="135"/>
      <c r="K622" s="383">
        <f t="shared" si="82"/>
        <v>400000</v>
      </c>
      <c r="L622" s="383">
        <v>0</v>
      </c>
      <c r="M622" s="383">
        <f t="shared" si="83"/>
        <v>0</v>
      </c>
      <c r="N622" s="305"/>
      <c r="O622" s="383">
        <f t="shared" si="84"/>
        <v>-400000</v>
      </c>
      <c r="P622" s="305">
        <f t="shared" si="85"/>
        <v>-1</v>
      </c>
      <c r="Q622" s="536"/>
      <c r="R622" s="381"/>
    </row>
    <row r="623" spans="1:18">
      <c r="E623" s="382" t="s">
        <v>324</v>
      </c>
      <c r="F623" s="383">
        <v>65000</v>
      </c>
      <c r="G623" s="135"/>
      <c r="H623" s="383">
        <v>-6500</v>
      </c>
      <c r="I623" s="383"/>
      <c r="J623" s="135"/>
      <c r="K623" s="383">
        <f t="shared" si="82"/>
        <v>58500</v>
      </c>
      <c r="L623" s="383">
        <v>65000</v>
      </c>
      <c r="M623" s="383">
        <f t="shared" si="83"/>
        <v>0</v>
      </c>
      <c r="N623" s="305">
        <f t="shared" si="86"/>
        <v>0</v>
      </c>
      <c r="O623" s="383">
        <f t="shared" si="84"/>
        <v>6500</v>
      </c>
      <c r="P623" s="305">
        <f t="shared" si="85"/>
        <v>0.1111111111111111</v>
      </c>
      <c r="Q623" s="536"/>
      <c r="R623" s="381"/>
    </row>
    <row r="624" spans="1:18">
      <c r="E624" s="382" t="s">
        <v>323</v>
      </c>
      <c r="F624" s="383">
        <v>125000</v>
      </c>
      <c r="G624" s="135"/>
      <c r="H624" s="383">
        <f>H625</f>
        <v>6000</v>
      </c>
      <c r="I624" s="383">
        <v>3000</v>
      </c>
      <c r="J624" s="135"/>
      <c r="K624" s="383">
        <f t="shared" si="82"/>
        <v>134000</v>
      </c>
      <c r="L624" s="383">
        <v>125000</v>
      </c>
      <c r="M624" s="383">
        <f t="shared" si="83"/>
        <v>0</v>
      </c>
      <c r="N624" s="305">
        <f t="shared" si="86"/>
        <v>0</v>
      </c>
      <c r="O624" s="383">
        <f t="shared" si="84"/>
        <v>-9000</v>
      </c>
      <c r="P624" s="305">
        <f t="shared" si="85"/>
        <v>-6.7164179104477612E-2</v>
      </c>
      <c r="Q624" s="536"/>
      <c r="R624" s="381"/>
    </row>
    <row r="625" spans="5:18">
      <c r="E625" s="384" t="s">
        <v>893</v>
      </c>
      <c r="F625" s="383"/>
      <c r="G625" s="135"/>
      <c r="H625" s="333">
        <v>6000</v>
      </c>
      <c r="I625" s="333"/>
      <c r="J625" s="135"/>
      <c r="K625" s="383">
        <f t="shared" si="82"/>
        <v>6000</v>
      </c>
      <c r="L625" s="383">
        <v>0</v>
      </c>
      <c r="M625" s="383">
        <f t="shared" si="83"/>
        <v>0</v>
      </c>
      <c r="N625" s="305"/>
      <c r="O625" s="383">
        <f t="shared" si="84"/>
        <v>-6000</v>
      </c>
      <c r="P625" s="305">
        <f t="shared" si="85"/>
        <v>-1</v>
      </c>
      <c r="Q625" s="536"/>
      <c r="R625" s="381"/>
    </row>
    <row r="626" spans="5:18">
      <c r="E626" s="382" t="s">
        <v>448</v>
      </c>
      <c r="F626" s="383"/>
      <c r="G626" s="135"/>
      <c r="H626" s="383">
        <f>H627</f>
        <v>50000</v>
      </c>
      <c r="I626" s="383"/>
      <c r="J626" s="135"/>
      <c r="K626" s="383">
        <f t="shared" si="82"/>
        <v>50000</v>
      </c>
      <c r="L626" s="383">
        <v>0</v>
      </c>
      <c r="M626" s="383">
        <f t="shared" si="83"/>
        <v>0</v>
      </c>
      <c r="N626" s="305"/>
      <c r="O626" s="383">
        <f t="shared" si="84"/>
        <v>-50000</v>
      </c>
      <c r="P626" s="305">
        <f t="shared" si="85"/>
        <v>-1</v>
      </c>
      <c r="Q626" s="536"/>
      <c r="R626" s="381"/>
    </row>
    <row r="627" spans="5:18">
      <c r="E627" s="384" t="s">
        <v>894</v>
      </c>
      <c r="F627" s="383"/>
      <c r="G627" s="135"/>
      <c r="H627" s="333">
        <v>50000</v>
      </c>
      <c r="I627" s="333"/>
      <c r="J627" s="135"/>
      <c r="K627" s="383">
        <f t="shared" si="82"/>
        <v>50000</v>
      </c>
      <c r="L627" s="383">
        <v>0</v>
      </c>
      <c r="M627" s="383">
        <f t="shared" si="83"/>
        <v>0</v>
      </c>
      <c r="N627" s="305"/>
      <c r="O627" s="383">
        <f t="shared" si="84"/>
        <v>-50000</v>
      </c>
      <c r="P627" s="305">
        <f t="shared" si="85"/>
        <v>-1</v>
      </c>
      <c r="Q627" s="536"/>
      <c r="R627" s="381"/>
    </row>
    <row r="628" spans="5:18">
      <c r="E628" s="382" t="s">
        <v>327</v>
      </c>
      <c r="F628" s="383">
        <f>420000+80000</f>
        <v>500000</v>
      </c>
      <c r="G628" s="135"/>
      <c r="H628" s="383"/>
      <c r="I628" s="383">
        <v>-59500</v>
      </c>
      <c r="J628" s="135"/>
      <c r="K628" s="383">
        <f t="shared" si="82"/>
        <v>440500</v>
      </c>
      <c r="L628" s="383">
        <v>500000</v>
      </c>
      <c r="M628" s="383">
        <f t="shared" si="83"/>
        <v>0</v>
      </c>
      <c r="N628" s="305">
        <f t="shared" si="86"/>
        <v>0</v>
      </c>
      <c r="O628" s="383">
        <f t="shared" si="84"/>
        <v>59500</v>
      </c>
      <c r="P628" s="305">
        <f t="shared" si="85"/>
        <v>0.13507377979568672</v>
      </c>
      <c r="Q628" s="536"/>
      <c r="R628" s="381"/>
    </row>
    <row r="629" spans="5:18">
      <c r="E629" s="385" t="s">
        <v>1180</v>
      </c>
      <c r="F629" s="383"/>
      <c r="G629" s="135"/>
      <c r="H629" s="383"/>
      <c r="I629" s="386">
        <v>50000</v>
      </c>
      <c r="J629" s="135"/>
      <c r="K629" s="383">
        <f t="shared" si="82"/>
        <v>50000</v>
      </c>
      <c r="L629" s="383">
        <v>0</v>
      </c>
      <c r="M629" s="383">
        <f t="shared" si="83"/>
        <v>0</v>
      </c>
      <c r="N629" s="305"/>
      <c r="O629" s="383">
        <f t="shared" si="84"/>
        <v>-50000</v>
      </c>
      <c r="P629" s="305">
        <f t="shared" si="85"/>
        <v>-1</v>
      </c>
      <c r="Q629" s="536"/>
      <c r="R629" s="381"/>
    </row>
    <row r="630" spans="5:18">
      <c r="E630" s="382" t="s">
        <v>447</v>
      </c>
      <c r="F630" s="383">
        <v>600000</v>
      </c>
      <c r="G630" s="135"/>
      <c r="H630" s="383">
        <v>-200000</v>
      </c>
      <c r="I630" s="383"/>
      <c r="J630" s="135"/>
      <c r="K630" s="383">
        <f t="shared" si="82"/>
        <v>400000</v>
      </c>
      <c r="L630" s="383">
        <v>600000</v>
      </c>
      <c r="M630" s="383">
        <f t="shared" si="83"/>
        <v>0</v>
      </c>
      <c r="N630" s="305">
        <f t="shared" si="86"/>
        <v>0</v>
      </c>
      <c r="O630" s="383">
        <f t="shared" si="84"/>
        <v>200000</v>
      </c>
      <c r="P630" s="305">
        <f t="shared" si="85"/>
        <v>0.5</v>
      </c>
      <c r="Q630" s="536"/>
      <c r="R630" s="381"/>
    </row>
    <row r="631" spans="5:18">
      <c r="E631" s="382" t="s">
        <v>326</v>
      </c>
      <c r="F631" s="383">
        <v>35000</v>
      </c>
      <c r="G631" s="135"/>
      <c r="H631" s="135"/>
      <c r="I631" s="136"/>
      <c r="J631" s="135"/>
      <c r="K631" s="383">
        <f t="shared" si="82"/>
        <v>35000</v>
      </c>
      <c r="L631" s="383">
        <v>35000</v>
      </c>
      <c r="M631" s="383">
        <f t="shared" si="83"/>
        <v>0</v>
      </c>
      <c r="N631" s="305">
        <f t="shared" si="86"/>
        <v>0</v>
      </c>
      <c r="O631" s="383">
        <f t="shared" si="84"/>
        <v>0</v>
      </c>
      <c r="P631" s="305">
        <f t="shared" si="85"/>
        <v>0</v>
      </c>
      <c r="Q631" s="536"/>
      <c r="R631" s="381"/>
    </row>
    <row r="632" spans="5:18">
      <c r="E632" s="382" t="s">
        <v>354</v>
      </c>
      <c r="F632" s="383">
        <v>44000</v>
      </c>
      <c r="G632" s="135"/>
      <c r="H632" s="135"/>
      <c r="I632" s="136"/>
      <c r="J632" s="135"/>
      <c r="K632" s="383">
        <f t="shared" si="82"/>
        <v>44000</v>
      </c>
      <c r="L632" s="383">
        <v>44000</v>
      </c>
      <c r="M632" s="383">
        <f t="shared" si="83"/>
        <v>0</v>
      </c>
      <c r="N632" s="305">
        <f t="shared" si="86"/>
        <v>0</v>
      </c>
      <c r="O632" s="383">
        <f t="shared" si="84"/>
        <v>0</v>
      </c>
      <c r="P632" s="305">
        <f t="shared" si="85"/>
        <v>0</v>
      </c>
    </row>
    <row r="633" spans="5:18">
      <c r="E633" s="382" t="s">
        <v>328</v>
      </c>
      <c r="F633" s="383">
        <v>50500</v>
      </c>
      <c r="G633" s="135"/>
      <c r="H633" s="135"/>
      <c r="I633" s="136">
        <v>6500</v>
      </c>
      <c r="J633" s="135"/>
      <c r="K633" s="383">
        <f t="shared" si="82"/>
        <v>57000</v>
      </c>
      <c r="L633" s="383">
        <v>57000</v>
      </c>
      <c r="M633" s="383">
        <f t="shared" si="83"/>
        <v>6500</v>
      </c>
      <c r="N633" s="305">
        <f t="shared" si="86"/>
        <v>0.12871287128712872</v>
      </c>
      <c r="O633" s="383">
        <f t="shared" si="84"/>
        <v>0</v>
      </c>
      <c r="P633" s="305">
        <f t="shared" si="85"/>
        <v>0</v>
      </c>
    </row>
    <row r="634" spans="5:18">
      <c r="E634" s="382" t="s">
        <v>322</v>
      </c>
      <c r="F634" s="383">
        <v>4760</v>
      </c>
      <c r="G634" s="135"/>
      <c r="H634" s="383">
        <f>H635</f>
        <v>500</v>
      </c>
      <c r="I634" s="383">
        <f>I635</f>
        <v>2000</v>
      </c>
      <c r="J634" s="135"/>
      <c r="K634" s="383">
        <f t="shared" si="82"/>
        <v>7260</v>
      </c>
      <c r="L634" s="383">
        <v>6000</v>
      </c>
      <c r="M634" s="383">
        <f t="shared" si="83"/>
        <v>1240</v>
      </c>
      <c r="N634" s="305">
        <f t="shared" si="86"/>
        <v>0.26050420168067229</v>
      </c>
      <c r="O634" s="383">
        <f t="shared" si="84"/>
        <v>-1260</v>
      </c>
      <c r="P634" s="305">
        <f t="shared" si="85"/>
        <v>-0.17355371900826447</v>
      </c>
    </row>
    <row r="635" spans="5:18">
      <c r="E635" s="385" t="s">
        <v>895</v>
      </c>
      <c r="F635" s="383"/>
      <c r="G635" s="135"/>
      <c r="H635" s="386">
        <v>500</v>
      </c>
      <c r="I635" s="333">
        <v>2000</v>
      </c>
      <c r="J635" s="135"/>
      <c r="K635" s="383">
        <f t="shared" si="82"/>
        <v>2500</v>
      </c>
      <c r="L635" s="383">
        <v>0</v>
      </c>
      <c r="M635" s="383">
        <f t="shared" si="83"/>
        <v>0</v>
      </c>
      <c r="N635" s="305"/>
      <c r="O635" s="383">
        <f t="shared" si="84"/>
        <v>-2500</v>
      </c>
      <c r="P635" s="305">
        <f t="shared" si="85"/>
        <v>-1</v>
      </c>
    </row>
    <row r="636" spans="5:18">
      <c r="E636" s="382" t="s">
        <v>430</v>
      </c>
      <c r="F636" s="383">
        <v>133000</v>
      </c>
      <c r="G636" s="135"/>
      <c r="H636" s="383">
        <v>-20000</v>
      </c>
      <c r="I636" s="383"/>
      <c r="J636" s="135"/>
      <c r="K636" s="383">
        <f t="shared" si="82"/>
        <v>113000</v>
      </c>
      <c r="L636" s="383">
        <v>116500</v>
      </c>
      <c r="M636" s="383">
        <f t="shared" si="83"/>
        <v>-16500</v>
      </c>
      <c r="N636" s="305">
        <f t="shared" si="86"/>
        <v>-0.12406015037593984</v>
      </c>
      <c r="O636" s="383">
        <f t="shared" si="84"/>
        <v>3500</v>
      </c>
      <c r="P636" s="305">
        <f t="shared" si="85"/>
        <v>3.0973451327433628E-2</v>
      </c>
    </row>
    <row r="637" spans="5:18">
      <c r="E637" s="382" t="s">
        <v>735</v>
      </c>
      <c r="F637" s="383"/>
      <c r="G637" s="135"/>
      <c r="H637" s="383">
        <v>10000</v>
      </c>
      <c r="I637" s="383"/>
      <c r="J637" s="135"/>
      <c r="K637" s="383">
        <f t="shared" si="82"/>
        <v>10000</v>
      </c>
      <c r="L637" s="383">
        <v>20000</v>
      </c>
      <c r="M637" s="383">
        <f t="shared" si="83"/>
        <v>20000</v>
      </c>
      <c r="N637" s="305"/>
      <c r="O637" s="383">
        <f t="shared" si="84"/>
        <v>10000</v>
      </c>
      <c r="P637" s="305">
        <f t="shared" si="85"/>
        <v>1</v>
      </c>
    </row>
    <row r="638" spans="5:18">
      <c r="E638" s="382" t="s">
        <v>523</v>
      </c>
      <c r="F638" s="383">
        <v>122000</v>
      </c>
      <c r="G638" s="135"/>
      <c r="H638" s="135"/>
      <c r="I638" s="383">
        <v>-18000</v>
      </c>
      <c r="J638" s="135"/>
      <c r="K638" s="383">
        <f t="shared" si="82"/>
        <v>104000</v>
      </c>
      <c r="L638" s="383">
        <v>120760</v>
      </c>
      <c r="M638" s="383">
        <f t="shared" si="83"/>
        <v>-1240</v>
      </c>
      <c r="N638" s="305">
        <f t="shared" si="86"/>
        <v>-1.0163934426229508E-2</v>
      </c>
      <c r="O638" s="383">
        <f t="shared" si="84"/>
        <v>16760</v>
      </c>
      <c r="P638" s="305">
        <f t="shared" si="85"/>
        <v>0.16115384615384615</v>
      </c>
    </row>
    <row r="639" spans="5:18">
      <c r="E639" s="147"/>
      <c r="F639" s="136"/>
      <c r="G639" s="135"/>
      <c r="H639" s="135"/>
      <c r="I639" s="136"/>
      <c r="J639" s="135"/>
      <c r="K639" s="136">
        <f t="shared" si="82"/>
        <v>0</v>
      </c>
      <c r="L639" s="136">
        <v>0</v>
      </c>
      <c r="M639" s="136">
        <f t="shared" si="83"/>
        <v>0</v>
      </c>
      <c r="N639" s="157"/>
      <c r="O639" s="136">
        <f t="shared" si="84"/>
        <v>0</v>
      </c>
      <c r="P639" s="157"/>
    </row>
    <row r="640" spans="5:18" ht="30.6">
      <c r="E640" s="303" t="s">
        <v>657</v>
      </c>
      <c r="F640" s="304"/>
      <c r="G640" s="135"/>
      <c r="H640" s="135"/>
      <c r="I640" s="136"/>
      <c r="J640" s="135"/>
      <c r="K640" s="304">
        <f t="shared" si="82"/>
        <v>0</v>
      </c>
      <c r="L640" s="304">
        <v>0</v>
      </c>
      <c r="M640" s="304">
        <f t="shared" si="83"/>
        <v>0</v>
      </c>
      <c r="N640" s="305"/>
      <c r="O640" s="304">
        <f t="shared" si="84"/>
        <v>0</v>
      </c>
      <c r="P640" s="305"/>
    </row>
    <row r="641" spans="1:16">
      <c r="E641" s="303"/>
      <c r="F641" s="304"/>
      <c r="G641" s="135"/>
      <c r="H641" s="135"/>
      <c r="I641" s="136"/>
      <c r="J641" s="135"/>
      <c r="K641" s="304">
        <f t="shared" si="82"/>
        <v>0</v>
      </c>
      <c r="L641" s="304">
        <v>0</v>
      </c>
      <c r="M641" s="304">
        <f t="shared" si="83"/>
        <v>0</v>
      </c>
      <c r="N641" s="305"/>
      <c r="O641" s="304">
        <f t="shared" si="84"/>
        <v>0</v>
      </c>
      <c r="P641" s="305"/>
    </row>
    <row r="642" spans="1:16">
      <c r="A642" s="77" t="s">
        <v>659</v>
      </c>
      <c r="B642" s="77" t="s">
        <v>601</v>
      </c>
      <c r="C642" s="537" t="s">
        <v>1030</v>
      </c>
      <c r="D642" s="537" t="s">
        <v>953</v>
      </c>
      <c r="E642" s="104" t="s">
        <v>321</v>
      </c>
      <c r="F642" s="136">
        <v>100000</v>
      </c>
      <c r="G642" s="135"/>
      <c r="H642" s="135"/>
      <c r="I642" s="136"/>
      <c r="J642" s="135"/>
      <c r="K642" s="136">
        <f t="shared" si="82"/>
        <v>100000</v>
      </c>
      <c r="L642" s="136">
        <v>166000</v>
      </c>
      <c r="M642" s="136">
        <f t="shared" si="83"/>
        <v>66000</v>
      </c>
      <c r="N642" s="157">
        <f t="shared" si="86"/>
        <v>0.66</v>
      </c>
      <c r="O642" s="136">
        <f t="shared" si="84"/>
        <v>66000</v>
      </c>
      <c r="P642" s="157">
        <f t="shared" si="85"/>
        <v>0.66</v>
      </c>
    </row>
    <row r="643" spans="1:16">
      <c r="E643" s="380" t="s">
        <v>521</v>
      </c>
      <c r="F643" s="381">
        <v>100000</v>
      </c>
      <c r="G643" s="135"/>
      <c r="H643" s="135"/>
      <c r="I643" s="136"/>
      <c r="J643" s="135"/>
      <c r="K643" s="381">
        <f t="shared" si="82"/>
        <v>100000</v>
      </c>
      <c r="L643" s="381">
        <v>166000</v>
      </c>
      <c r="M643" s="381">
        <f t="shared" si="83"/>
        <v>66000</v>
      </c>
      <c r="N643" s="299">
        <f t="shared" si="86"/>
        <v>0.66</v>
      </c>
      <c r="O643" s="381">
        <f t="shared" si="84"/>
        <v>66000</v>
      </c>
      <c r="P643" s="299">
        <f t="shared" si="85"/>
        <v>0.66</v>
      </c>
    </row>
    <row r="644" spans="1:16">
      <c r="E644" s="147"/>
      <c r="F644" s="136"/>
      <c r="G644" s="135"/>
      <c r="H644" s="135"/>
      <c r="I644" s="136"/>
      <c r="J644" s="135"/>
      <c r="K644" s="136">
        <f t="shared" si="82"/>
        <v>0</v>
      </c>
      <c r="L644" s="136">
        <v>0</v>
      </c>
      <c r="M644" s="136">
        <f t="shared" si="83"/>
        <v>0</v>
      </c>
      <c r="N644" s="157"/>
      <c r="O644" s="136">
        <f t="shared" si="84"/>
        <v>0</v>
      </c>
      <c r="P644" s="157"/>
    </row>
    <row r="645" spans="1:16">
      <c r="A645" s="77" t="s">
        <v>672</v>
      </c>
      <c r="B645" s="77" t="s">
        <v>601</v>
      </c>
      <c r="C645" s="537" t="s">
        <v>1001</v>
      </c>
      <c r="D645" s="537" t="s">
        <v>991</v>
      </c>
      <c r="E645" s="273" t="s">
        <v>458</v>
      </c>
      <c r="F645" s="131">
        <f>270000+80000+88000</f>
        <v>438000</v>
      </c>
      <c r="G645" s="135"/>
      <c r="H645" s="135"/>
      <c r="I645" s="136"/>
      <c r="J645" s="135"/>
      <c r="K645" s="131">
        <f t="shared" si="82"/>
        <v>438000</v>
      </c>
      <c r="L645" s="136">
        <v>350000</v>
      </c>
      <c r="M645" s="136">
        <f t="shared" si="83"/>
        <v>-88000</v>
      </c>
      <c r="N645" s="157">
        <f t="shared" si="86"/>
        <v>-0.20091324200913241</v>
      </c>
      <c r="O645" s="136">
        <f t="shared" si="84"/>
        <v>-88000</v>
      </c>
      <c r="P645" s="157">
        <f t="shared" si="85"/>
        <v>-0.20091324200913241</v>
      </c>
    </row>
    <row r="646" spans="1:16">
      <c r="E646" s="356"/>
      <c r="F646" s="298"/>
      <c r="G646" s="135"/>
      <c r="H646" s="135"/>
      <c r="I646" s="136"/>
      <c r="J646" s="135"/>
      <c r="K646" s="298">
        <f t="shared" si="82"/>
        <v>0</v>
      </c>
      <c r="L646" s="298">
        <v>0</v>
      </c>
      <c r="M646" s="298">
        <f t="shared" si="83"/>
        <v>0</v>
      </c>
      <c r="N646" s="299"/>
      <c r="O646" s="298">
        <f t="shared" si="84"/>
        <v>0</v>
      </c>
      <c r="P646" s="299"/>
    </row>
    <row r="647" spans="1:16">
      <c r="A647" s="77" t="s">
        <v>672</v>
      </c>
      <c r="B647" s="77" t="s">
        <v>601</v>
      </c>
      <c r="C647" s="537" t="s">
        <v>1001</v>
      </c>
      <c r="D647" s="537" t="s">
        <v>962</v>
      </c>
      <c r="E647" s="273" t="s">
        <v>236</v>
      </c>
      <c r="F647" s="131">
        <v>25500</v>
      </c>
      <c r="G647" s="135"/>
      <c r="H647" s="135"/>
      <c r="I647" s="136"/>
      <c r="J647" s="135"/>
      <c r="K647" s="131">
        <f t="shared" si="82"/>
        <v>25500</v>
      </c>
      <c r="L647" s="131">
        <v>20000</v>
      </c>
      <c r="M647" s="131">
        <f t="shared" si="83"/>
        <v>-5500</v>
      </c>
      <c r="N647" s="157">
        <f t="shared" si="86"/>
        <v>-0.21568627450980393</v>
      </c>
      <c r="O647" s="131">
        <f t="shared" si="84"/>
        <v>-5500</v>
      </c>
      <c r="P647" s="157">
        <f t="shared" si="85"/>
        <v>-0.21568627450980393</v>
      </c>
    </row>
    <row r="648" spans="1:16">
      <c r="E648" s="273"/>
      <c r="F648" s="131"/>
      <c r="G648" s="135"/>
      <c r="H648" s="135"/>
      <c r="I648" s="136"/>
      <c r="J648" s="135"/>
      <c r="K648" s="131">
        <f t="shared" ref="K648:K711" si="88">F648+G648+H648+J648+I648</f>
        <v>0</v>
      </c>
      <c r="L648" s="131">
        <v>0</v>
      </c>
      <c r="M648" s="131">
        <f t="shared" ref="M648:M711" si="89">L648-F648</f>
        <v>0</v>
      </c>
      <c r="N648" s="157"/>
      <c r="O648" s="131">
        <f t="shared" ref="O648:O711" si="90">L648-K648</f>
        <v>0</v>
      </c>
      <c r="P648" s="157"/>
    </row>
    <row r="649" spans="1:16">
      <c r="A649" s="77" t="s">
        <v>672</v>
      </c>
      <c r="B649" s="77" t="s">
        <v>601</v>
      </c>
      <c r="C649" s="537" t="s">
        <v>1001</v>
      </c>
      <c r="D649" s="537"/>
      <c r="E649" s="273" t="s">
        <v>739</v>
      </c>
      <c r="F649" s="131"/>
      <c r="G649" s="135"/>
      <c r="H649" s="131">
        <v>105000</v>
      </c>
      <c r="I649" s="131"/>
      <c r="J649" s="135"/>
      <c r="K649" s="131">
        <f t="shared" si="88"/>
        <v>105000</v>
      </c>
      <c r="L649" s="131">
        <v>0</v>
      </c>
      <c r="M649" s="131">
        <f t="shared" si="89"/>
        <v>0</v>
      </c>
      <c r="N649" s="157"/>
      <c r="O649" s="131">
        <f t="shared" si="90"/>
        <v>-105000</v>
      </c>
      <c r="P649" s="157">
        <f t="shared" ref="P649:P709" si="91">O649/K649</f>
        <v>-1</v>
      </c>
    </row>
    <row r="650" spans="1:16">
      <c r="E650" s="273"/>
      <c r="F650" s="131"/>
      <c r="G650" s="135"/>
      <c r="H650" s="135"/>
      <c r="I650" s="136"/>
      <c r="J650" s="135"/>
      <c r="K650" s="131">
        <f t="shared" si="88"/>
        <v>0</v>
      </c>
      <c r="L650" s="131">
        <v>0</v>
      </c>
      <c r="M650" s="131">
        <f t="shared" si="89"/>
        <v>0</v>
      </c>
      <c r="N650" s="157"/>
      <c r="O650" s="131">
        <f t="shared" si="90"/>
        <v>0</v>
      </c>
      <c r="P650" s="157"/>
    </row>
    <row r="651" spans="1:16">
      <c r="A651" s="77" t="s">
        <v>659</v>
      </c>
      <c r="B651" s="77" t="s">
        <v>601</v>
      </c>
      <c r="C651" s="537" t="s">
        <v>1030</v>
      </c>
      <c r="D651" s="537" t="s">
        <v>997</v>
      </c>
      <c r="E651" s="104" t="s">
        <v>338</v>
      </c>
      <c r="F651" s="136">
        <v>78071</v>
      </c>
      <c r="G651" s="135"/>
      <c r="H651" s="135"/>
      <c r="I651" s="136"/>
      <c r="J651" s="135"/>
      <c r="K651" s="136">
        <f t="shared" si="88"/>
        <v>78071</v>
      </c>
      <c r="L651" s="136">
        <v>78071</v>
      </c>
      <c r="M651" s="136">
        <f t="shared" si="89"/>
        <v>0</v>
      </c>
      <c r="N651" s="157">
        <f t="shared" ref="N651:N709" si="92">M651/F651</f>
        <v>0</v>
      </c>
      <c r="O651" s="136">
        <f t="shared" si="90"/>
        <v>0</v>
      </c>
      <c r="P651" s="157">
        <f t="shared" si="91"/>
        <v>0</v>
      </c>
    </row>
    <row r="652" spans="1:16">
      <c r="E652" s="307"/>
      <c r="F652" s="128"/>
      <c r="G652" s="135"/>
      <c r="H652" s="135"/>
      <c r="I652" s="136"/>
      <c r="J652" s="135"/>
      <c r="K652" s="131">
        <f t="shared" si="88"/>
        <v>0</v>
      </c>
      <c r="L652" s="128">
        <v>0</v>
      </c>
      <c r="M652" s="128">
        <f t="shared" si="89"/>
        <v>0</v>
      </c>
      <c r="N652" s="91"/>
      <c r="O652" s="128">
        <f t="shared" si="90"/>
        <v>0</v>
      </c>
      <c r="P652" s="91"/>
    </row>
    <row r="653" spans="1:16">
      <c r="E653" s="307"/>
      <c r="F653" s="128"/>
      <c r="G653" s="135"/>
      <c r="H653" s="135"/>
      <c r="I653" s="136"/>
      <c r="J653" s="135"/>
      <c r="K653" s="128">
        <f t="shared" si="88"/>
        <v>0</v>
      </c>
      <c r="L653" s="128">
        <v>0</v>
      </c>
      <c r="M653" s="128">
        <f t="shared" si="89"/>
        <v>0</v>
      </c>
      <c r="N653" s="91"/>
      <c r="O653" s="128">
        <f t="shared" si="90"/>
        <v>0</v>
      </c>
      <c r="P653" s="91"/>
    </row>
    <row r="654" spans="1:16" ht="15.6">
      <c r="E654" s="259" t="s">
        <v>107</v>
      </c>
      <c r="F654" s="260"/>
      <c r="G654" s="135"/>
      <c r="H654" s="135"/>
      <c r="I654" s="136"/>
      <c r="J654" s="135"/>
      <c r="K654" s="260">
        <f t="shared" si="88"/>
        <v>0</v>
      </c>
      <c r="L654" s="260">
        <v>0</v>
      </c>
      <c r="M654" s="260">
        <f t="shared" si="89"/>
        <v>0</v>
      </c>
      <c r="N654" s="275"/>
      <c r="O654" s="260">
        <f t="shared" si="90"/>
        <v>0</v>
      </c>
      <c r="P654" s="275"/>
    </row>
    <row r="655" spans="1:16">
      <c r="E655" s="526"/>
      <c r="F655" s="268"/>
      <c r="G655" s="135"/>
      <c r="H655" s="136"/>
      <c r="I655" s="136"/>
      <c r="J655" s="135"/>
      <c r="K655" s="268">
        <f t="shared" si="88"/>
        <v>0</v>
      </c>
      <c r="L655" s="268">
        <v>0</v>
      </c>
      <c r="M655" s="268">
        <f t="shared" si="89"/>
        <v>0</v>
      </c>
      <c r="N655" s="157"/>
      <c r="O655" s="268">
        <f t="shared" si="90"/>
        <v>0</v>
      </c>
      <c r="P655" s="157"/>
    </row>
    <row r="656" spans="1:16">
      <c r="E656" s="261" t="s">
        <v>98</v>
      </c>
      <c r="F656" s="127">
        <f>F666+F829</f>
        <v>75829407</v>
      </c>
      <c r="G656" s="127">
        <f>G666+G829</f>
        <v>0</v>
      </c>
      <c r="H656" s="127">
        <f>H666+H829</f>
        <v>10782594</v>
      </c>
      <c r="I656" s="127">
        <f>I666+I829</f>
        <v>4816826</v>
      </c>
      <c r="J656" s="127">
        <f>J666+J829</f>
        <v>992575</v>
      </c>
      <c r="K656" s="127">
        <f t="shared" si="88"/>
        <v>92421402</v>
      </c>
      <c r="L656" s="127">
        <f>L666+L829</f>
        <v>88619801</v>
      </c>
      <c r="M656" s="127">
        <f t="shared" si="89"/>
        <v>12790394</v>
      </c>
      <c r="N656" s="160">
        <f t="shared" si="92"/>
        <v>0.16867326946127906</v>
      </c>
      <c r="O656" s="127">
        <f t="shared" si="90"/>
        <v>-3801601</v>
      </c>
      <c r="P656" s="160">
        <f t="shared" si="91"/>
        <v>-4.1133340522144429E-2</v>
      </c>
    </row>
    <row r="657" spans="1:16">
      <c r="E657" s="262" t="s">
        <v>359</v>
      </c>
      <c r="F657" s="128">
        <v>1690000</v>
      </c>
      <c r="G657" s="135"/>
      <c r="H657" s="136"/>
      <c r="I657" s="136">
        <v>-730000</v>
      </c>
      <c r="J657" s="136"/>
      <c r="K657" s="128">
        <f t="shared" si="88"/>
        <v>960000</v>
      </c>
      <c r="L657" s="128">
        <v>960000</v>
      </c>
      <c r="M657" s="128">
        <f t="shared" si="89"/>
        <v>-730000</v>
      </c>
      <c r="N657" s="91">
        <f t="shared" si="92"/>
        <v>-0.43195266272189348</v>
      </c>
      <c r="O657" s="128">
        <f t="shared" si="90"/>
        <v>0</v>
      </c>
      <c r="P657" s="91">
        <f t="shared" si="91"/>
        <v>0</v>
      </c>
    </row>
    <row r="658" spans="1:16">
      <c r="E658" s="261" t="s">
        <v>44</v>
      </c>
      <c r="F658" s="127">
        <f>F659+F663+F660+F662</f>
        <v>75829407</v>
      </c>
      <c r="G658" s="127">
        <f>G659+G663+G660+G662</f>
        <v>0</v>
      </c>
      <c r="H658" s="127">
        <f>H659+H663+H660+H662+H661</f>
        <v>10782594</v>
      </c>
      <c r="I658" s="127">
        <f>I659+I663+I660+I662+I661</f>
        <v>4816826</v>
      </c>
      <c r="J658" s="127">
        <f>J659+J663+J660+J662</f>
        <v>992575</v>
      </c>
      <c r="K658" s="127">
        <f t="shared" si="88"/>
        <v>92421402</v>
      </c>
      <c r="L658" s="127">
        <f>L659+L660+L661+L662+L663</f>
        <v>88619801</v>
      </c>
      <c r="M658" s="127">
        <f t="shared" si="89"/>
        <v>12790394</v>
      </c>
      <c r="N658" s="160">
        <f t="shared" si="92"/>
        <v>0.16867326946127906</v>
      </c>
      <c r="O658" s="127">
        <f t="shared" si="90"/>
        <v>-3801601</v>
      </c>
      <c r="P658" s="160">
        <f t="shared" si="91"/>
        <v>-4.1133340522144429E-2</v>
      </c>
    </row>
    <row r="659" spans="1:16">
      <c r="E659" s="262" t="s">
        <v>45</v>
      </c>
      <c r="F659" s="128">
        <v>22533816</v>
      </c>
      <c r="G659" s="135"/>
      <c r="H659" s="138">
        <v>3362330</v>
      </c>
      <c r="I659" s="138">
        <v>2995120</v>
      </c>
      <c r="J659" s="136"/>
      <c r="K659" s="128">
        <f t="shared" si="88"/>
        <v>28891266</v>
      </c>
      <c r="L659" s="128">
        <v>24346181</v>
      </c>
      <c r="M659" s="128">
        <f t="shared" si="89"/>
        <v>1812365</v>
      </c>
      <c r="N659" s="91">
        <f t="shared" si="92"/>
        <v>8.0428676616512706E-2</v>
      </c>
      <c r="O659" s="128">
        <f t="shared" si="90"/>
        <v>-4545085</v>
      </c>
      <c r="P659" s="91">
        <f t="shared" si="91"/>
        <v>-0.15731692062230848</v>
      </c>
    </row>
    <row r="660" spans="1:16">
      <c r="E660" s="263" t="s">
        <v>33</v>
      </c>
      <c r="F660" s="128">
        <v>533680</v>
      </c>
      <c r="G660" s="135"/>
      <c r="H660" s="138"/>
      <c r="I660" s="138"/>
      <c r="J660" s="136"/>
      <c r="K660" s="128">
        <f t="shared" si="88"/>
        <v>533680</v>
      </c>
      <c r="L660" s="128">
        <v>406496</v>
      </c>
      <c r="M660" s="128">
        <f t="shared" si="89"/>
        <v>-127184</v>
      </c>
      <c r="N660" s="91">
        <f t="shared" si="92"/>
        <v>-0.23831509518812771</v>
      </c>
      <c r="O660" s="128">
        <f t="shared" si="90"/>
        <v>-127184</v>
      </c>
      <c r="P660" s="91">
        <f t="shared" si="91"/>
        <v>-0.23831509518812771</v>
      </c>
    </row>
    <row r="661" spans="1:16">
      <c r="E661" s="263" t="s">
        <v>0</v>
      </c>
      <c r="F661" s="128"/>
      <c r="G661" s="135"/>
      <c r="H661" s="138">
        <v>5671100</v>
      </c>
      <c r="I661" s="138">
        <v>-550834</v>
      </c>
      <c r="J661" s="136"/>
      <c r="K661" s="128">
        <f t="shared" si="88"/>
        <v>5120266</v>
      </c>
      <c r="L661" s="128">
        <v>492845</v>
      </c>
      <c r="M661" s="128">
        <f t="shared" si="89"/>
        <v>492845</v>
      </c>
      <c r="N661" s="91"/>
      <c r="O661" s="128">
        <f t="shared" si="90"/>
        <v>-4627421</v>
      </c>
      <c r="P661" s="91">
        <f t="shared" si="91"/>
        <v>-0.90374621162259927</v>
      </c>
    </row>
    <row r="662" spans="1:16">
      <c r="E662" s="263" t="s">
        <v>896</v>
      </c>
      <c r="F662" s="128">
        <v>225052</v>
      </c>
      <c r="G662" s="135"/>
      <c r="H662" s="138"/>
      <c r="I662" s="138">
        <v>30105</v>
      </c>
      <c r="J662" s="136"/>
      <c r="K662" s="128">
        <f t="shared" si="88"/>
        <v>255157</v>
      </c>
      <c r="L662" s="128">
        <v>49800</v>
      </c>
      <c r="M662" s="128">
        <f t="shared" si="89"/>
        <v>-175252</v>
      </c>
      <c r="N662" s="91">
        <f t="shared" si="92"/>
        <v>-0.77871780744005825</v>
      </c>
      <c r="O662" s="128">
        <f t="shared" si="90"/>
        <v>-205357</v>
      </c>
      <c r="P662" s="91">
        <f t="shared" si="91"/>
        <v>-0.80482604827615933</v>
      </c>
    </row>
    <row r="663" spans="1:16">
      <c r="E663" s="263" t="s">
        <v>46</v>
      </c>
      <c r="F663" s="128">
        <f>F656-F659-F660-F662</f>
        <v>52536859</v>
      </c>
      <c r="G663" s="128">
        <f>G656-G659-G660-G662</f>
        <v>0</v>
      </c>
      <c r="H663" s="128">
        <f>H656-H659-H660-H662-H661</f>
        <v>1749164</v>
      </c>
      <c r="I663" s="128">
        <f>I656-I659-I660-I662-I661</f>
        <v>2342435</v>
      </c>
      <c r="J663" s="128">
        <f>J656-J659-J660-J662</f>
        <v>992575</v>
      </c>
      <c r="K663" s="128">
        <f t="shared" si="88"/>
        <v>57621033</v>
      </c>
      <c r="L663" s="128">
        <f>L656-L659-L660-L661-L662</f>
        <v>63324479</v>
      </c>
      <c r="M663" s="128">
        <f t="shared" si="89"/>
        <v>10787620</v>
      </c>
      <c r="N663" s="91">
        <f t="shared" si="92"/>
        <v>0.20533431585622583</v>
      </c>
      <c r="O663" s="128">
        <f t="shared" si="90"/>
        <v>5703446</v>
      </c>
      <c r="P663" s="91">
        <f t="shared" si="91"/>
        <v>9.8982015820507765E-2</v>
      </c>
    </row>
    <row r="664" spans="1:16" s="10" customFormat="1">
      <c r="A664" s="135"/>
      <c r="B664" s="135"/>
      <c r="C664" s="482"/>
      <c r="D664" s="482"/>
      <c r="E664" s="264" t="s">
        <v>718</v>
      </c>
      <c r="F664" s="129">
        <f>F668+F730+F798+F834+F848+F881+F917+F928+F936+F941+F969+F704</f>
        <v>24260829</v>
      </c>
      <c r="G664" s="129">
        <f>G668+G730+G798+G834+G848+G881+G917+G928+G936+G941+G969+G704</f>
        <v>0</v>
      </c>
      <c r="H664" s="129">
        <f>H668+H730+H798+H834+H848+H881+H917+H928+H936+H941+H969+H704+H837</f>
        <v>2403053</v>
      </c>
      <c r="I664" s="129">
        <f>I668+I730+I798+I834+I848+I881+I917+I928+I936+I941+I969+I704+I837+I892</f>
        <v>-450276</v>
      </c>
      <c r="J664" s="129">
        <f>J668+J730+J798+J834+J848+J881+J917+J928+J936+J941+J969+J704</f>
        <v>741836</v>
      </c>
      <c r="K664" s="129">
        <f t="shared" si="88"/>
        <v>26955442</v>
      </c>
      <c r="L664" s="129">
        <f>L668+L704+L730+L798+L834+L837+L848+L881+L917+L928+L933+L936+L941+L969+L944</f>
        <v>28603614</v>
      </c>
      <c r="M664" s="129">
        <f t="shared" si="89"/>
        <v>4342785</v>
      </c>
      <c r="N664" s="265">
        <f t="shared" si="92"/>
        <v>0.1790039820980561</v>
      </c>
      <c r="O664" s="129">
        <f t="shared" si="90"/>
        <v>1648172</v>
      </c>
      <c r="P664" s="265">
        <f t="shared" si="91"/>
        <v>6.1144313641749964E-2</v>
      </c>
    </row>
    <row r="665" spans="1:16">
      <c r="E665" s="276"/>
      <c r="F665" s="277"/>
      <c r="G665" s="135"/>
      <c r="H665" s="136"/>
      <c r="I665" s="136"/>
      <c r="J665" s="136"/>
      <c r="K665" s="277">
        <f t="shared" si="88"/>
        <v>0</v>
      </c>
      <c r="L665" s="277">
        <v>0</v>
      </c>
      <c r="M665" s="277">
        <f t="shared" si="89"/>
        <v>0</v>
      </c>
      <c r="N665" s="278"/>
      <c r="O665" s="277">
        <f t="shared" si="90"/>
        <v>0</v>
      </c>
      <c r="P665" s="278"/>
    </row>
    <row r="666" spans="1:16" ht="13.8">
      <c r="A666" s="77" t="s">
        <v>675</v>
      </c>
      <c r="B666" s="77" t="s">
        <v>107</v>
      </c>
      <c r="E666" s="344" t="s">
        <v>108</v>
      </c>
      <c r="F666" s="126">
        <f>F667+F703+F729+F797</f>
        <v>31421758</v>
      </c>
      <c r="G666" s="126">
        <f>G667+G703+G729+G797</f>
        <v>0</v>
      </c>
      <c r="H666" s="126">
        <f>H667+H703+H729+H797</f>
        <v>2727200</v>
      </c>
      <c r="I666" s="126">
        <f>I667+I703+I729+I797</f>
        <v>372346</v>
      </c>
      <c r="J666" s="126">
        <f>J667+J703+J729+J797</f>
        <v>990394</v>
      </c>
      <c r="K666" s="126">
        <f t="shared" si="88"/>
        <v>35511698</v>
      </c>
      <c r="L666" s="126">
        <f>L667+L703+L729+L797</f>
        <v>37830296</v>
      </c>
      <c r="M666" s="126">
        <f t="shared" si="89"/>
        <v>6408538</v>
      </c>
      <c r="N666" s="313">
        <f t="shared" si="92"/>
        <v>0.20395224226473899</v>
      </c>
      <c r="O666" s="126">
        <f t="shared" si="90"/>
        <v>2318598</v>
      </c>
      <c r="P666" s="313">
        <f t="shared" si="91"/>
        <v>6.5291104919849227E-2</v>
      </c>
    </row>
    <row r="667" spans="1:16">
      <c r="C667" s="537" t="s">
        <v>1029</v>
      </c>
      <c r="D667" s="537" t="s">
        <v>967</v>
      </c>
      <c r="E667" s="339" t="s">
        <v>109</v>
      </c>
      <c r="F667" s="123">
        <f>F670+F673+F676+F679+F682+F693</f>
        <v>10134002</v>
      </c>
      <c r="G667" s="123">
        <f>G670+G673+G676+G679+G682+G693</f>
        <v>0</v>
      </c>
      <c r="H667" s="123">
        <f>H670+H673+H676+H679+H682+H693+H696+H700</f>
        <v>1438064</v>
      </c>
      <c r="I667" s="123">
        <f>I670+I673+I676+I679+I682+I693+I696</f>
        <v>433286</v>
      </c>
      <c r="J667" s="123">
        <f>J670+J673+J676+J679+J682+J693</f>
        <v>191885</v>
      </c>
      <c r="K667" s="123">
        <f t="shared" si="88"/>
        <v>12197237</v>
      </c>
      <c r="L667" s="123">
        <f>L670+L673+L676+L679+L682+L693+L696</f>
        <v>11767084</v>
      </c>
      <c r="M667" s="123">
        <f t="shared" si="89"/>
        <v>1633082</v>
      </c>
      <c r="N667" s="160">
        <f t="shared" si="92"/>
        <v>0.1611487741960185</v>
      </c>
      <c r="O667" s="123">
        <f t="shared" si="90"/>
        <v>-430153</v>
      </c>
      <c r="P667" s="160">
        <f t="shared" si="91"/>
        <v>-3.5266429602048399E-2</v>
      </c>
    </row>
    <row r="668" spans="1:16">
      <c r="E668" s="132" t="s">
        <v>47</v>
      </c>
      <c r="F668" s="124">
        <f>F683</f>
        <v>3717377</v>
      </c>
      <c r="G668" s="124">
        <f t="shared" ref="G668:J668" si="93">G683</f>
        <v>0</v>
      </c>
      <c r="H668" s="124">
        <f>H683+H697+H701</f>
        <v>485830</v>
      </c>
      <c r="I668" s="124">
        <f>I683+I697</f>
        <v>45838</v>
      </c>
      <c r="J668" s="124">
        <f t="shared" si="93"/>
        <v>143412</v>
      </c>
      <c r="K668" s="124">
        <f t="shared" si="88"/>
        <v>4392457</v>
      </c>
      <c r="L668" s="124">
        <f>L683+L697</f>
        <v>4648175</v>
      </c>
      <c r="M668" s="124">
        <f t="shared" si="89"/>
        <v>930798</v>
      </c>
      <c r="N668" s="270">
        <f t="shared" si="92"/>
        <v>0.25039106875627626</v>
      </c>
      <c r="O668" s="124">
        <f t="shared" si="90"/>
        <v>255718</v>
      </c>
      <c r="P668" s="270">
        <f t="shared" si="91"/>
        <v>5.8217530644010855E-2</v>
      </c>
    </row>
    <row r="669" spans="1:16">
      <c r="E669" s="315" t="s">
        <v>101</v>
      </c>
      <c r="F669" s="123"/>
      <c r="G669" s="135"/>
      <c r="H669" s="136"/>
      <c r="I669" s="136"/>
      <c r="J669" s="136"/>
      <c r="K669" s="123">
        <f t="shared" si="88"/>
        <v>0</v>
      </c>
      <c r="L669" s="123">
        <v>0</v>
      </c>
      <c r="M669" s="123">
        <f t="shared" si="89"/>
        <v>0</v>
      </c>
      <c r="N669" s="160"/>
      <c r="O669" s="123">
        <f t="shared" si="90"/>
        <v>0</v>
      </c>
      <c r="P669" s="160"/>
    </row>
    <row r="670" spans="1:16" s="10" customFormat="1">
      <c r="A670" s="135"/>
      <c r="B670" s="135"/>
      <c r="C670" s="482"/>
      <c r="D670" s="482"/>
      <c r="E670" s="37" t="s">
        <v>110</v>
      </c>
      <c r="F670" s="47">
        <v>2615920</v>
      </c>
      <c r="G670" s="135"/>
      <c r="H670" s="136"/>
      <c r="I670" s="136">
        <v>130796</v>
      </c>
      <c r="J670" s="136"/>
      <c r="K670" s="47">
        <f t="shared" si="88"/>
        <v>2746716</v>
      </c>
      <c r="L670" s="47">
        <v>2880460</v>
      </c>
      <c r="M670" s="47">
        <f t="shared" si="89"/>
        <v>264540</v>
      </c>
      <c r="N670" s="96">
        <f t="shared" si="92"/>
        <v>0.10112694577815835</v>
      </c>
      <c r="O670" s="47">
        <f t="shared" si="90"/>
        <v>133744</v>
      </c>
      <c r="P670" s="96">
        <f t="shared" si="91"/>
        <v>4.8692329312531764E-2</v>
      </c>
    </row>
    <row r="671" spans="1:16">
      <c r="E671" s="65"/>
      <c r="F671" s="47"/>
      <c r="G671" s="135"/>
      <c r="H671" s="136"/>
      <c r="I671" s="136"/>
      <c r="J671" s="136"/>
      <c r="K671" s="47">
        <f t="shared" si="88"/>
        <v>0</v>
      </c>
      <c r="L671" s="47">
        <v>0</v>
      </c>
      <c r="M671" s="47">
        <f t="shared" si="89"/>
        <v>0</v>
      </c>
      <c r="N671" s="96"/>
      <c r="O671" s="47">
        <f t="shared" si="90"/>
        <v>0</v>
      </c>
      <c r="P671" s="96"/>
    </row>
    <row r="672" spans="1:16">
      <c r="E672" s="315" t="s">
        <v>101</v>
      </c>
      <c r="F672" s="123"/>
      <c r="G672" s="135"/>
      <c r="H672" s="136"/>
      <c r="I672" s="136"/>
      <c r="J672" s="136"/>
      <c r="K672" s="123">
        <f t="shared" si="88"/>
        <v>0</v>
      </c>
      <c r="L672" s="123">
        <v>0</v>
      </c>
      <c r="M672" s="123">
        <f t="shared" si="89"/>
        <v>0</v>
      </c>
      <c r="N672" s="160"/>
      <c r="O672" s="123">
        <f t="shared" si="90"/>
        <v>0</v>
      </c>
      <c r="P672" s="160"/>
    </row>
    <row r="673" spans="1:16" s="10" customFormat="1">
      <c r="A673" s="135"/>
      <c r="B673" s="135"/>
      <c r="C673" s="482"/>
      <c r="D673" s="482"/>
      <c r="E673" s="37" t="s">
        <v>111</v>
      </c>
      <c r="F673" s="47">
        <v>76670</v>
      </c>
      <c r="G673" s="135"/>
      <c r="H673" s="136"/>
      <c r="I673" s="136"/>
      <c r="J673" s="136"/>
      <c r="K673" s="47">
        <f t="shared" si="88"/>
        <v>76670</v>
      </c>
      <c r="L673" s="47">
        <v>84540</v>
      </c>
      <c r="M673" s="47">
        <f t="shared" si="89"/>
        <v>7870</v>
      </c>
      <c r="N673" s="96">
        <f t="shared" si="92"/>
        <v>0.1026477109690883</v>
      </c>
      <c r="O673" s="47">
        <f t="shared" si="90"/>
        <v>7870</v>
      </c>
      <c r="P673" s="96">
        <f t="shared" si="91"/>
        <v>0.1026477109690883</v>
      </c>
    </row>
    <row r="674" spans="1:16">
      <c r="E674" s="65"/>
      <c r="F674" s="47"/>
      <c r="G674" s="135"/>
      <c r="H674" s="136"/>
      <c r="I674" s="136"/>
      <c r="J674" s="136"/>
      <c r="K674" s="47">
        <f t="shared" si="88"/>
        <v>0</v>
      </c>
      <c r="L674" s="47">
        <v>0</v>
      </c>
      <c r="M674" s="47">
        <f t="shared" si="89"/>
        <v>0</v>
      </c>
      <c r="N674" s="96"/>
      <c r="O674" s="47">
        <f t="shared" si="90"/>
        <v>0</v>
      </c>
      <c r="P674" s="96"/>
    </row>
    <row r="675" spans="1:16">
      <c r="E675" s="315" t="s">
        <v>101</v>
      </c>
      <c r="F675" s="123"/>
      <c r="G675" s="135"/>
      <c r="H675" s="136"/>
      <c r="I675" s="136"/>
      <c r="J675" s="136"/>
      <c r="K675" s="123">
        <f t="shared" si="88"/>
        <v>0</v>
      </c>
      <c r="L675" s="123">
        <v>0</v>
      </c>
      <c r="M675" s="123">
        <f t="shared" si="89"/>
        <v>0</v>
      </c>
      <c r="N675" s="160"/>
      <c r="O675" s="123">
        <f t="shared" si="90"/>
        <v>0</v>
      </c>
      <c r="P675" s="160"/>
    </row>
    <row r="676" spans="1:16" s="10" customFormat="1">
      <c r="A676" s="135"/>
      <c r="B676" s="135"/>
      <c r="C676" s="482"/>
      <c r="D676" s="482"/>
      <c r="E676" s="37" t="s">
        <v>112</v>
      </c>
      <c r="F676" s="47">
        <v>804181</v>
      </c>
      <c r="G676" s="135"/>
      <c r="H676" s="136"/>
      <c r="I676" s="136">
        <v>164714</v>
      </c>
      <c r="J676" s="136"/>
      <c r="K676" s="47">
        <f t="shared" si="88"/>
        <v>968895</v>
      </c>
      <c r="L676" s="47">
        <v>1140087</v>
      </c>
      <c r="M676" s="47">
        <f t="shared" si="89"/>
        <v>335906</v>
      </c>
      <c r="N676" s="96">
        <f t="shared" si="92"/>
        <v>0.41769949799858491</v>
      </c>
      <c r="O676" s="47">
        <f t="shared" si="90"/>
        <v>171192</v>
      </c>
      <c r="P676" s="96">
        <f t="shared" si="91"/>
        <v>0.17668787639527503</v>
      </c>
    </row>
    <row r="677" spans="1:16">
      <c r="E677" s="60"/>
      <c r="F677" s="76"/>
      <c r="G677" s="135"/>
      <c r="H677" s="136"/>
      <c r="I677" s="136"/>
      <c r="J677" s="136"/>
      <c r="K677" s="76">
        <f t="shared" si="88"/>
        <v>0</v>
      </c>
      <c r="L677" s="76">
        <v>0</v>
      </c>
      <c r="M677" s="76">
        <f t="shared" si="89"/>
        <v>0</v>
      </c>
      <c r="N677" s="100"/>
      <c r="O677" s="76">
        <f t="shared" si="90"/>
        <v>0</v>
      </c>
      <c r="P677" s="100"/>
    </row>
    <row r="678" spans="1:16">
      <c r="E678" s="315" t="s">
        <v>101</v>
      </c>
      <c r="F678" s="123"/>
      <c r="G678" s="135"/>
      <c r="H678" s="136"/>
      <c r="I678" s="136"/>
      <c r="J678" s="136"/>
      <c r="K678" s="123">
        <f t="shared" si="88"/>
        <v>0</v>
      </c>
      <c r="L678" s="123">
        <v>0</v>
      </c>
      <c r="M678" s="123">
        <f t="shared" si="89"/>
        <v>0</v>
      </c>
      <c r="N678" s="160"/>
      <c r="O678" s="123">
        <f t="shared" si="90"/>
        <v>0</v>
      </c>
      <c r="P678" s="160"/>
    </row>
    <row r="679" spans="1:16" s="10" customFormat="1">
      <c r="A679" s="135"/>
      <c r="B679" s="135"/>
      <c r="C679" s="482"/>
      <c r="D679" s="482"/>
      <c r="E679" s="37" t="s">
        <v>113</v>
      </c>
      <c r="F679" s="47">
        <v>211045</v>
      </c>
      <c r="G679" s="135"/>
      <c r="H679" s="136">
        <v>-58832</v>
      </c>
      <c r="I679" s="136"/>
      <c r="J679" s="136"/>
      <c r="K679" s="47">
        <f t="shared" si="88"/>
        <v>152213</v>
      </c>
      <c r="L679" s="47">
        <v>155135</v>
      </c>
      <c r="M679" s="47">
        <f t="shared" si="89"/>
        <v>-55910</v>
      </c>
      <c r="N679" s="96">
        <f t="shared" si="92"/>
        <v>-0.26491980383330571</v>
      </c>
      <c r="O679" s="47">
        <f t="shared" si="90"/>
        <v>2922</v>
      </c>
      <c r="P679" s="96">
        <f t="shared" si="91"/>
        <v>1.9196783454764048E-2</v>
      </c>
    </row>
    <row r="680" spans="1:16">
      <c r="E680" s="147"/>
      <c r="F680" s="136"/>
      <c r="G680" s="135"/>
      <c r="H680" s="136"/>
      <c r="I680" s="136"/>
      <c r="J680" s="136"/>
      <c r="K680" s="136">
        <f t="shared" si="88"/>
        <v>0</v>
      </c>
      <c r="L680" s="136">
        <v>0</v>
      </c>
      <c r="M680" s="136">
        <f t="shared" si="89"/>
        <v>0</v>
      </c>
      <c r="N680" s="157"/>
      <c r="O680" s="136">
        <f t="shared" si="90"/>
        <v>0</v>
      </c>
      <c r="P680" s="157"/>
    </row>
    <row r="681" spans="1:16">
      <c r="E681" s="315" t="s">
        <v>101</v>
      </c>
      <c r="F681" s="123"/>
      <c r="G681" s="135"/>
      <c r="H681" s="136"/>
      <c r="I681" s="136"/>
      <c r="J681" s="136"/>
      <c r="K681" s="123">
        <f t="shared" si="88"/>
        <v>0</v>
      </c>
      <c r="L681" s="123">
        <v>0</v>
      </c>
      <c r="M681" s="123">
        <f t="shared" si="89"/>
        <v>0</v>
      </c>
      <c r="N681" s="160"/>
      <c r="O681" s="123">
        <f t="shared" si="90"/>
        <v>0</v>
      </c>
      <c r="P681" s="160"/>
    </row>
    <row r="682" spans="1:16">
      <c r="E682" s="37" t="s">
        <v>649</v>
      </c>
      <c r="F682" s="47">
        <f>F684+F685+F687+F689</f>
        <v>6408576</v>
      </c>
      <c r="G682" s="135"/>
      <c r="H682" s="47">
        <f>H684+H685+H687+H689</f>
        <v>764992</v>
      </c>
      <c r="I682" s="47">
        <f>I684+I685+I687+I689</f>
        <v>195269</v>
      </c>
      <c r="J682" s="47">
        <f>J684+J685+J687+J689</f>
        <v>191885</v>
      </c>
      <c r="K682" s="47">
        <f t="shared" si="88"/>
        <v>7560722</v>
      </c>
      <c r="L682" s="47">
        <f>L684+L687+L689+L685</f>
        <v>7129774</v>
      </c>
      <c r="M682" s="47">
        <f t="shared" si="89"/>
        <v>721198</v>
      </c>
      <c r="N682" s="96">
        <f t="shared" si="92"/>
        <v>0.11253638873908962</v>
      </c>
      <c r="O682" s="47">
        <f t="shared" si="90"/>
        <v>-430948</v>
      </c>
      <c r="P682" s="96">
        <f t="shared" si="91"/>
        <v>-5.6998260219063734E-2</v>
      </c>
    </row>
    <row r="683" spans="1:16">
      <c r="E683" s="323" t="s">
        <v>47</v>
      </c>
      <c r="F683" s="124">
        <f>F686+F688+F690</f>
        <v>3717377</v>
      </c>
      <c r="G683" s="135"/>
      <c r="H683" s="124">
        <f>H686+H688+H690</f>
        <v>222145</v>
      </c>
      <c r="I683" s="124">
        <f>I686+I688+I690</f>
        <v>65340</v>
      </c>
      <c r="J683" s="124">
        <f>J686+J688+J690</f>
        <v>143412</v>
      </c>
      <c r="K683" s="124">
        <f t="shared" si="88"/>
        <v>4148274</v>
      </c>
      <c r="L683" s="124">
        <f>L686+L688+L690</f>
        <v>4424030</v>
      </c>
      <c r="M683" s="124">
        <f t="shared" si="89"/>
        <v>706653</v>
      </c>
      <c r="N683" s="270">
        <f t="shared" si="92"/>
        <v>0.19009452094850751</v>
      </c>
      <c r="O683" s="124">
        <f t="shared" si="90"/>
        <v>275756</v>
      </c>
      <c r="P683" s="270">
        <f t="shared" si="91"/>
        <v>6.6474876056885346E-2</v>
      </c>
    </row>
    <row r="684" spans="1:16">
      <c r="E684" s="387" t="s">
        <v>480</v>
      </c>
      <c r="F684" s="298">
        <v>74640</v>
      </c>
      <c r="G684" s="135"/>
      <c r="H684" s="381">
        <v>58832</v>
      </c>
      <c r="I684" s="381"/>
      <c r="J684" s="381"/>
      <c r="K684" s="298">
        <f t="shared" si="88"/>
        <v>133472</v>
      </c>
      <c r="L684" s="298">
        <v>130550</v>
      </c>
      <c r="M684" s="298">
        <f t="shared" si="89"/>
        <v>55910</v>
      </c>
      <c r="N684" s="299">
        <f t="shared" si="92"/>
        <v>0.74906216505894962</v>
      </c>
      <c r="O684" s="298">
        <f t="shared" si="90"/>
        <v>-2922</v>
      </c>
      <c r="P684" s="299">
        <f t="shared" si="91"/>
        <v>-2.1892232078638215E-2</v>
      </c>
    </row>
    <row r="685" spans="1:16">
      <c r="E685" s="388" t="s">
        <v>483</v>
      </c>
      <c r="F685" s="298">
        <v>2661604</v>
      </c>
      <c r="G685" s="135"/>
      <c r="H685" s="381">
        <v>373124</v>
      </c>
      <c r="I685" s="381"/>
      <c r="J685" s="381">
        <v>31935</v>
      </c>
      <c r="K685" s="298">
        <f t="shared" si="88"/>
        <v>3066663</v>
      </c>
      <c r="L685" s="298">
        <v>2836322</v>
      </c>
      <c r="M685" s="298">
        <f t="shared" si="89"/>
        <v>174718</v>
      </c>
      <c r="N685" s="299">
        <f t="shared" si="92"/>
        <v>6.5643874896490984E-2</v>
      </c>
      <c r="O685" s="298">
        <f t="shared" si="90"/>
        <v>-230341</v>
      </c>
      <c r="P685" s="299">
        <f t="shared" si="91"/>
        <v>-7.5111285459145652E-2</v>
      </c>
    </row>
    <row r="686" spans="1:16">
      <c r="E686" s="389" t="s">
        <v>47</v>
      </c>
      <c r="F686" s="277">
        <v>1509211</v>
      </c>
      <c r="G686" s="135"/>
      <c r="H686" s="279">
        <v>73448</v>
      </c>
      <c r="I686" s="279">
        <v>21600</v>
      </c>
      <c r="J686" s="279">
        <v>23868</v>
      </c>
      <c r="K686" s="277">
        <f t="shared" si="88"/>
        <v>1628127</v>
      </c>
      <c r="L686" s="277">
        <v>1747033</v>
      </c>
      <c r="M686" s="277">
        <f t="shared" si="89"/>
        <v>237822</v>
      </c>
      <c r="N686" s="278">
        <f t="shared" si="92"/>
        <v>0.15758035158768391</v>
      </c>
      <c r="O686" s="277">
        <f t="shared" si="90"/>
        <v>118906</v>
      </c>
      <c r="P686" s="278">
        <f t="shared" si="91"/>
        <v>7.303238629418958E-2</v>
      </c>
    </row>
    <row r="687" spans="1:16" s="10" customFormat="1">
      <c r="A687" s="135"/>
      <c r="B687" s="135"/>
      <c r="C687" s="482"/>
      <c r="D687" s="482"/>
      <c r="E687" s="388" t="s">
        <v>481</v>
      </c>
      <c r="F687" s="298">
        <v>1296123</v>
      </c>
      <c r="G687" s="135"/>
      <c r="H687" s="381">
        <v>72787</v>
      </c>
      <c r="I687" s="381">
        <v>31400</v>
      </c>
      <c r="J687" s="381">
        <v>56774</v>
      </c>
      <c r="K687" s="298">
        <f t="shared" si="88"/>
        <v>1457084</v>
      </c>
      <c r="L687" s="298">
        <v>1486322</v>
      </c>
      <c r="M687" s="298">
        <f t="shared" si="89"/>
        <v>190199</v>
      </c>
      <c r="N687" s="299">
        <f t="shared" si="92"/>
        <v>0.14674456050853199</v>
      </c>
      <c r="O687" s="298">
        <f t="shared" si="90"/>
        <v>29238</v>
      </c>
      <c r="P687" s="299">
        <f t="shared" si="91"/>
        <v>2.0066104630892933E-2</v>
      </c>
    </row>
    <row r="688" spans="1:16" s="10" customFormat="1">
      <c r="A688" s="135"/>
      <c r="B688" s="135"/>
      <c r="C688" s="482"/>
      <c r="D688" s="482"/>
      <c r="E688" s="389" t="s">
        <v>47</v>
      </c>
      <c r="F688" s="277">
        <v>829470</v>
      </c>
      <c r="G688" s="135"/>
      <c r="H688" s="279">
        <v>30114</v>
      </c>
      <c r="I688" s="279">
        <v>0</v>
      </c>
      <c r="J688" s="279">
        <v>42432</v>
      </c>
      <c r="K688" s="277">
        <f t="shared" si="88"/>
        <v>902016</v>
      </c>
      <c r="L688" s="277">
        <v>943291</v>
      </c>
      <c r="M688" s="277">
        <f t="shared" si="89"/>
        <v>113821</v>
      </c>
      <c r="N688" s="278">
        <f t="shared" si="92"/>
        <v>0.1372213582166926</v>
      </c>
      <c r="O688" s="277">
        <f t="shared" si="90"/>
        <v>41275</v>
      </c>
      <c r="P688" s="278">
        <f t="shared" si="91"/>
        <v>4.5758611820632893E-2</v>
      </c>
    </row>
    <row r="689" spans="1:16" s="147" customFormat="1">
      <c r="C689" s="536"/>
      <c r="D689" s="536"/>
      <c r="E689" s="388" t="s">
        <v>482</v>
      </c>
      <c r="F689" s="298">
        <v>2376209</v>
      </c>
      <c r="H689" s="236">
        <v>260249</v>
      </c>
      <c r="I689" s="236">
        <v>163869</v>
      </c>
      <c r="J689" s="236">
        <v>103176</v>
      </c>
      <c r="K689" s="298">
        <f t="shared" si="88"/>
        <v>2903503</v>
      </c>
      <c r="L689" s="298">
        <v>2676580</v>
      </c>
      <c r="M689" s="298">
        <f t="shared" si="89"/>
        <v>300371</v>
      </c>
      <c r="N689" s="299">
        <f t="shared" si="92"/>
        <v>0.12640765185217293</v>
      </c>
      <c r="O689" s="298">
        <f t="shared" si="90"/>
        <v>-226923</v>
      </c>
      <c r="P689" s="299">
        <f t="shared" si="91"/>
        <v>-7.8154904610052062E-2</v>
      </c>
    </row>
    <row r="690" spans="1:16" s="147" customFormat="1">
      <c r="C690" s="536"/>
      <c r="D690" s="536"/>
      <c r="E690" s="389" t="s">
        <v>47</v>
      </c>
      <c r="F690" s="277">
        <v>1378696</v>
      </c>
      <c r="H690" s="390">
        <v>118583</v>
      </c>
      <c r="I690" s="390">
        <v>43740</v>
      </c>
      <c r="J690" s="390">
        <v>77112</v>
      </c>
      <c r="K690" s="277">
        <f t="shared" si="88"/>
        <v>1618131</v>
      </c>
      <c r="L690" s="277">
        <v>1733706</v>
      </c>
      <c r="M690" s="277">
        <f t="shared" si="89"/>
        <v>355010</v>
      </c>
      <c r="N690" s="278">
        <f t="shared" si="92"/>
        <v>0.25749693913669147</v>
      </c>
      <c r="O690" s="277">
        <f t="shared" si="90"/>
        <v>115575</v>
      </c>
      <c r="P690" s="278">
        <f t="shared" si="91"/>
        <v>7.1424995874870459E-2</v>
      </c>
    </row>
    <row r="691" spans="1:16">
      <c r="E691" s="323"/>
      <c r="F691" s="124"/>
      <c r="G691" s="135"/>
      <c r="H691" s="136"/>
      <c r="I691" s="136"/>
      <c r="J691" s="136"/>
      <c r="K691" s="124">
        <f t="shared" si="88"/>
        <v>0</v>
      </c>
      <c r="L691" s="124">
        <v>0</v>
      </c>
      <c r="M691" s="124">
        <f t="shared" si="89"/>
        <v>0</v>
      </c>
      <c r="N691" s="270"/>
      <c r="O691" s="124">
        <f t="shared" si="90"/>
        <v>0</v>
      </c>
      <c r="P691" s="270"/>
    </row>
    <row r="692" spans="1:16">
      <c r="E692" s="315" t="s">
        <v>101</v>
      </c>
      <c r="F692" s="123"/>
      <c r="G692" s="135"/>
      <c r="H692" s="136"/>
      <c r="I692" s="136"/>
      <c r="J692" s="136"/>
      <c r="K692" s="123">
        <f t="shared" si="88"/>
        <v>0</v>
      </c>
      <c r="L692" s="123">
        <v>0</v>
      </c>
      <c r="M692" s="123">
        <f t="shared" si="89"/>
        <v>0</v>
      </c>
      <c r="N692" s="160"/>
      <c r="O692" s="123">
        <f t="shared" si="90"/>
        <v>0</v>
      </c>
      <c r="P692" s="160"/>
    </row>
    <row r="693" spans="1:16" s="10" customFormat="1">
      <c r="A693" s="135"/>
      <c r="B693" s="135"/>
      <c r="C693" s="482"/>
      <c r="D693" s="482"/>
      <c r="E693" s="37" t="s">
        <v>114</v>
      </c>
      <c r="F693" s="47">
        <v>17610</v>
      </c>
      <c r="G693" s="135"/>
      <c r="H693" s="136"/>
      <c r="I693" s="136"/>
      <c r="J693" s="136"/>
      <c r="K693" s="47">
        <f t="shared" si="88"/>
        <v>17610</v>
      </c>
      <c r="L693" s="47">
        <v>17610</v>
      </c>
      <c r="M693" s="47">
        <f t="shared" si="89"/>
        <v>0</v>
      </c>
      <c r="N693" s="96">
        <f t="shared" si="92"/>
        <v>0</v>
      </c>
      <c r="O693" s="47">
        <f t="shared" si="90"/>
        <v>0</v>
      </c>
      <c r="P693" s="96">
        <f t="shared" si="91"/>
        <v>0</v>
      </c>
    </row>
    <row r="694" spans="1:16" s="10" customFormat="1">
      <c r="A694" s="135"/>
      <c r="B694" s="135"/>
      <c r="C694" s="482"/>
      <c r="D694" s="482"/>
      <c r="E694" s="37"/>
      <c r="F694" s="47"/>
      <c r="G694" s="135"/>
      <c r="H694" s="136"/>
      <c r="I694" s="136"/>
      <c r="J694" s="136"/>
      <c r="K694" s="47">
        <f t="shared" si="88"/>
        <v>0</v>
      </c>
      <c r="L694" s="47">
        <v>0</v>
      </c>
      <c r="M694" s="47">
        <f t="shared" si="89"/>
        <v>0</v>
      </c>
      <c r="N694" s="96"/>
      <c r="O694" s="47">
        <f t="shared" si="90"/>
        <v>0</v>
      </c>
      <c r="P694" s="96"/>
    </row>
    <row r="695" spans="1:16" s="10" customFormat="1">
      <c r="A695" s="135"/>
      <c r="B695" s="135"/>
      <c r="C695" s="482"/>
      <c r="D695" s="482"/>
      <c r="E695" s="315" t="s">
        <v>101</v>
      </c>
      <c r="F695" s="47"/>
      <c r="G695" s="135"/>
      <c r="H695" s="136"/>
      <c r="I695" s="136"/>
      <c r="J695" s="136"/>
      <c r="K695" s="47">
        <f t="shared" si="88"/>
        <v>0</v>
      </c>
      <c r="L695" s="47">
        <v>0</v>
      </c>
      <c r="M695" s="47">
        <f t="shared" si="89"/>
        <v>0</v>
      </c>
      <c r="N695" s="96"/>
      <c r="O695" s="47">
        <f t="shared" si="90"/>
        <v>0</v>
      </c>
      <c r="P695" s="96"/>
    </row>
    <row r="696" spans="1:16" s="10" customFormat="1" ht="26.4">
      <c r="A696" s="135"/>
      <c r="B696" s="135"/>
      <c r="C696" s="482"/>
      <c r="D696" s="482"/>
      <c r="E696" s="78" t="s">
        <v>1205</v>
      </c>
      <c r="F696" s="124"/>
      <c r="G696" s="135"/>
      <c r="H696" s="136">
        <v>98700</v>
      </c>
      <c r="I696" s="136">
        <v>-57493</v>
      </c>
      <c r="J696" s="136"/>
      <c r="K696" s="268">
        <f t="shared" si="88"/>
        <v>41207</v>
      </c>
      <c r="L696" s="268">
        <v>359478</v>
      </c>
      <c r="M696" s="268">
        <f t="shared" si="89"/>
        <v>359478</v>
      </c>
      <c r="N696" s="157"/>
      <c r="O696" s="268">
        <f t="shared" si="90"/>
        <v>318271</v>
      </c>
      <c r="P696" s="157">
        <f t="shared" si="91"/>
        <v>7.7237119906811946</v>
      </c>
    </row>
    <row r="697" spans="1:16" s="10" customFormat="1">
      <c r="A697" s="135"/>
      <c r="B697" s="135"/>
      <c r="C697" s="482"/>
      <c r="D697" s="482"/>
      <c r="E697" s="323" t="s">
        <v>47</v>
      </c>
      <c r="F697" s="124"/>
      <c r="G697" s="135"/>
      <c r="H697" s="272">
        <v>51000</v>
      </c>
      <c r="I697" s="272">
        <v>-19502</v>
      </c>
      <c r="J697" s="136"/>
      <c r="K697" s="124">
        <f t="shared" si="88"/>
        <v>31498</v>
      </c>
      <c r="L697" s="124">
        <v>224145</v>
      </c>
      <c r="M697" s="124">
        <f t="shared" si="89"/>
        <v>224145</v>
      </c>
      <c r="N697" s="270"/>
      <c r="O697" s="124">
        <f t="shared" si="90"/>
        <v>192647</v>
      </c>
      <c r="P697" s="270">
        <f t="shared" si="91"/>
        <v>6.1161661057844938</v>
      </c>
    </row>
    <row r="698" spans="1:16" s="10" customFormat="1">
      <c r="A698" s="135"/>
      <c r="B698" s="135"/>
      <c r="C698" s="482"/>
      <c r="D698" s="482"/>
      <c r="E698" s="323"/>
      <c r="F698" s="124"/>
      <c r="G698" s="135"/>
      <c r="H698" s="272"/>
      <c r="I698" s="272"/>
      <c r="J698" s="136"/>
      <c r="K698" s="124">
        <f t="shared" si="88"/>
        <v>0</v>
      </c>
      <c r="L698" s="124"/>
      <c r="M698" s="124">
        <f t="shared" si="89"/>
        <v>0</v>
      </c>
      <c r="N698" s="270"/>
      <c r="O698" s="124">
        <f t="shared" si="90"/>
        <v>0</v>
      </c>
      <c r="P698" s="270"/>
    </row>
    <row r="699" spans="1:16" s="10" customFormat="1">
      <c r="A699" s="135"/>
      <c r="B699" s="135"/>
      <c r="C699" s="482"/>
      <c r="D699" s="482"/>
      <c r="E699" s="315" t="s">
        <v>101</v>
      </c>
      <c r="F699" s="124"/>
      <c r="G699" s="135"/>
      <c r="H699" s="272"/>
      <c r="I699" s="272"/>
      <c r="J699" s="136"/>
      <c r="K699" s="124">
        <f t="shared" si="88"/>
        <v>0</v>
      </c>
      <c r="L699" s="124"/>
      <c r="M699" s="124">
        <f t="shared" si="89"/>
        <v>0</v>
      </c>
      <c r="N699" s="270"/>
      <c r="O699" s="124">
        <f t="shared" si="90"/>
        <v>0</v>
      </c>
      <c r="P699" s="270"/>
    </row>
    <row r="700" spans="1:16" s="10" customFormat="1">
      <c r="A700" s="135"/>
      <c r="B700" s="135"/>
      <c r="C700" s="482"/>
      <c r="D700" s="482"/>
      <c r="E700" s="37" t="s">
        <v>1219</v>
      </c>
      <c r="F700" s="124"/>
      <c r="G700" s="135"/>
      <c r="H700" s="47">
        <v>633204</v>
      </c>
      <c r="I700" s="272"/>
      <c r="J700" s="136"/>
      <c r="K700" s="268">
        <f t="shared" si="88"/>
        <v>633204</v>
      </c>
      <c r="L700" s="124"/>
      <c r="M700" s="124">
        <f t="shared" si="89"/>
        <v>0</v>
      </c>
      <c r="N700" s="270"/>
      <c r="O700" s="124">
        <f t="shared" si="90"/>
        <v>-633204</v>
      </c>
      <c r="P700" s="270">
        <f t="shared" si="91"/>
        <v>-1</v>
      </c>
    </row>
    <row r="701" spans="1:16">
      <c r="E701" s="323" t="s">
        <v>47</v>
      </c>
      <c r="F701" s="124"/>
      <c r="G701" s="135"/>
      <c r="H701" s="124">
        <v>212685</v>
      </c>
      <c r="I701" s="136"/>
      <c r="J701" s="136"/>
      <c r="K701" s="124">
        <f t="shared" si="88"/>
        <v>212685</v>
      </c>
      <c r="L701" s="124">
        <v>0</v>
      </c>
      <c r="M701" s="124">
        <f t="shared" si="89"/>
        <v>0</v>
      </c>
      <c r="N701" s="270"/>
      <c r="O701" s="124">
        <f t="shared" si="90"/>
        <v>-212685</v>
      </c>
      <c r="P701" s="270">
        <f t="shared" si="91"/>
        <v>-1</v>
      </c>
    </row>
    <row r="702" spans="1:16">
      <c r="E702" s="323"/>
      <c r="F702" s="124"/>
      <c r="G702" s="135"/>
      <c r="H702" s="124"/>
      <c r="I702" s="136"/>
      <c r="J702" s="136"/>
      <c r="K702" s="124">
        <f t="shared" si="88"/>
        <v>0</v>
      </c>
      <c r="L702" s="124"/>
      <c r="M702" s="124">
        <f t="shared" si="89"/>
        <v>0</v>
      </c>
      <c r="N702" s="270"/>
      <c r="O702" s="124">
        <f t="shared" si="90"/>
        <v>0</v>
      </c>
      <c r="P702" s="270"/>
    </row>
    <row r="703" spans="1:16">
      <c r="C703" s="537" t="s">
        <v>1029</v>
      </c>
      <c r="D703" s="537" t="s">
        <v>996</v>
      </c>
      <c r="E703" s="339" t="s">
        <v>115</v>
      </c>
      <c r="F703" s="123">
        <f>F706+F714+F718+F721+F724+F727</f>
        <v>7223321</v>
      </c>
      <c r="G703" s="123">
        <f t="shared" ref="G703:J703" si="94">G706+G714+G718+G721+G724+G727</f>
        <v>0</v>
      </c>
      <c r="H703" s="123">
        <f t="shared" si="94"/>
        <v>113860</v>
      </c>
      <c r="I703" s="123">
        <f t="shared" si="94"/>
        <v>214389</v>
      </c>
      <c r="J703" s="123">
        <f t="shared" si="94"/>
        <v>267536</v>
      </c>
      <c r="K703" s="123">
        <f t="shared" si="88"/>
        <v>7819106</v>
      </c>
      <c r="L703" s="123">
        <f>L706+L714+L718+L721+L724+L727</f>
        <v>9486184</v>
      </c>
      <c r="M703" s="123">
        <f t="shared" si="89"/>
        <v>2262863</v>
      </c>
      <c r="N703" s="160">
        <f t="shared" si="92"/>
        <v>0.31327183161318733</v>
      </c>
      <c r="O703" s="123">
        <f t="shared" si="90"/>
        <v>1667078</v>
      </c>
      <c r="P703" s="160">
        <f t="shared" si="91"/>
        <v>0.21320570407921316</v>
      </c>
    </row>
    <row r="704" spans="1:16">
      <c r="E704" s="132" t="s">
        <v>47</v>
      </c>
      <c r="F704" s="124">
        <f>F707</f>
        <v>2154446</v>
      </c>
      <c r="G704" s="124">
        <f t="shared" ref="G704:J704" si="95">G707</f>
        <v>0</v>
      </c>
      <c r="H704" s="124">
        <f t="shared" si="95"/>
        <v>0</v>
      </c>
      <c r="I704" s="124">
        <f t="shared" si="95"/>
        <v>75080</v>
      </c>
      <c r="J704" s="124">
        <f t="shared" si="95"/>
        <v>199952</v>
      </c>
      <c r="K704" s="124">
        <f t="shared" si="88"/>
        <v>2429478</v>
      </c>
      <c r="L704" s="124">
        <f>L707</f>
        <v>3135180</v>
      </c>
      <c r="M704" s="124">
        <f t="shared" si="89"/>
        <v>980734</v>
      </c>
      <c r="N704" s="270">
        <f t="shared" si="92"/>
        <v>0.45521400861288702</v>
      </c>
      <c r="O704" s="124">
        <f t="shared" si="90"/>
        <v>705702</v>
      </c>
      <c r="P704" s="270">
        <f t="shared" si="91"/>
        <v>0.29047474395734391</v>
      </c>
    </row>
    <row r="705" spans="1:16">
      <c r="E705" s="315" t="s">
        <v>101</v>
      </c>
      <c r="F705" s="123"/>
      <c r="G705" s="135"/>
      <c r="H705" s="136"/>
      <c r="I705" s="136"/>
      <c r="J705" s="136"/>
      <c r="K705" s="123">
        <f t="shared" si="88"/>
        <v>0</v>
      </c>
      <c r="L705" s="123">
        <v>0</v>
      </c>
      <c r="M705" s="123">
        <f t="shared" si="89"/>
        <v>0</v>
      </c>
      <c r="N705" s="160"/>
      <c r="O705" s="123">
        <f t="shared" si="90"/>
        <v>0</v>
      </c>
      <c r="P705" s="160"/>
    </row>
    <row r="706" spans="1:16">
      <c r="E706" s="37" t="s">
        <v>650</v>
      </c>
      <c r="F706" s="47">
        <f>F708+F709</f>
        <v>6646926</v>
      </c>
      <c r="G706" s="47">
        <f t="shared" ref="G706:J706" si="96">G708+G709</f>
        <v>0</v>
      </c>
      <c r="H706" s="47">
        <f t="shared" si="96"/>
        <v>23860</v>
      </c>
      <c r="I706" s="47">
        <v>304389</v>
      </c>
      <c r="J706" s="47">
        <f t="shared" si="96"/>
        <v>267536</v>
      </c>
      <c r="K706" s="47">
        <f t="shared" si="88"/>
        <v>7242711</v>
      </c>
      <c r="L706" s="47">
        <f>L708+L709</f>
        <v>8836009</v>
      </c>
      <c r="M706" s="47">
        <f t="shared" si="89"/>
        <v>2189083</v>
      </c>
      <c r="N706" s="96">
        <f t="shared" si="92"/>
        <v>0.32933765172050961</v>
      </c>
      <c r="O706" s="47">
        <f t="shared" si="90"/>
        <v>1593298</v>
      </c>
      <c r="P706" s="96">
        <f t="shared" si="91"/>
        <v>0.21998641116565329</v>
      </c>
    </row>
    <row r="707" spans="1:16">
      <c r="E707" s="323" t="s">
        <v>47</v>
      </c>
      <c r="F707" s="124">
        <v>2154446</v>
      </c>
      <c r="G707" s="135"/>
      <c r="H707" s="136"/>
      <c r="I707" s="272">
        <f>71714+I715</f>
        <v>75080</v>
      </c>
      <c r="J707" s="272">
        <v>199952</v>
      </c>
      <c r="K707" s="124">
        <f t="shared" si="88"/>
        <v>2429478</v>
      </c>
      <c r="L707" s="124">
        <v>3135180</v>
      </c>
      <c r="M707" s="124">
        <f t="shared" si="89"/>
        <v>980734</v>
      </c>
      <c r="N707" s="270">
        <f t="shared" si="92"/>
        <v>0.45521400861288702</v>
      </c>
      <c r="O707" s="124">
        <f t="shared" si="90"/>
        <v>705702</v>
      </c>
      <c r="P707" s="270">
        <f t="shared" si="91"/>
        <v>0.29047474395734391</v>
      </c>
    </row>
    <row r="708" spans="1:16">
      <c r="E708" s="387" t="s">
        <v>480</v>
      </c>
      <c r="F708" s="298">
        <v>2300216</v>
      </c>
      <c r="G708" s="135"/>
      <c r="H708" s="381">
        <v>6360</v>
      </c>
      <c r="I708" s="381"/>
      <c r="J708" s="136"/>
      <c r="K708" s="298">
        <f t="shared" si="88"/>
        <v>2306576</v>
      </c>
      <c r="L708" s="298">
        <v>2300216</v>
      </c>
      <c r="M708" s="298">
        <f t="shared" si="89"/>
        <v>0</v>
      </c>
      <c r="N708" s="299">
        <f t="shared" si="92"/>
        <v>0</v>
      </c>
      <c r="O708" s="298">
        <f t="shared" si="90"/>
        <v>-6360</v>
      </c>
      <c r="P708" s="299">
        <f t="shared" si="91"/>
        <v>-2.7573338142770931E-3</v>
      </c>
    </row>
    <row r="709" spans="1:16" s="10" customFormat="1">
      <c r="A709" s="135"/>
      <c r="B709" s="135"/>
      <c r="C709" s="482"/>
      <c r="D709" s="482"/>
      <c r="E709" s="388" t="s">
        <v>484</v>
      </c>
      <c r="F709" s="298">
        <v>4346710</v>
      </c>
      <c r="G709" s="135"/>
      <c r="H709" s="381">
        <v>17500</v>
      </c>
      <c r="I709" s="381">
        <v>304389</v>
      </c>
      <c r="J709" s="381">
        <v>267536</v>
      </c>
      <c r="K709" s="298">
        <f t="shared" si="88"/>
        <v>4936135</v>
      </c>
      <c r="L709" s="298">
        <v>6535793</v>
      </c>
      <c r="M709" s="298">
        <f t="shared" si="89"/>
        <v>2189083</v>
      </c>
      <c r="N709" s="299">
        <f t="shared" si="92"/>
        <v>0.50361836883527999</v>
      </c>
      <c r="O709" s="298">
        <f t="shared" si="90"/>
        <v>1599658</v>
      </c>
      <c r="P709" s="299">
        <f t="shared" si="91"/>
        <v>0.32407095835101757</v>
      </c>
    </row>
    <row r="710" spans="1:16">
      <c r="E710" s="385"/>
      <c r="F710" s="386"/>
      <c r="G710" s="135"/>
      <c r="H710" s="136"/>
      <c r="I710" s="136"/>
      <c r="J710" s="136"/>
      <c r="K710" s="386">
        <f t="shared" si="88"/>
        <v>0</v>
      </c>
      <c r="L710" s="386">
        <v>0</v>
      </c>
      <c r="M710" s="386">
        <f t="shared" si="89"/>
        <v>0</v>
      </c>
      <c r="N710" s="287"/>
      <c r="O710" s="386">
        <f t="shared" si="90"/>
        <v>0</v>
      </c>
      <c r="P710" s="287"/>
    </row>
    <row r="711" spans="1:16">
      <c r="E711" s="302" t="s">
        <v>658</v>
      </c>
      <c r="F711" s="298"/>
      <c r="G711" s="135"/>
      <c r="H711" s="136"/>
      <c r="I711" s="136"/>
      <c r="J711" s="136"/>
      <c r="K711" s="298">
        <f t="shared" si="88"/>
        <v>0</v>
      </c>
      <c r="L711" s="298">
        <v>0</v>
      </c>
      <c r="M711" s="298">
        <f t="shared" si="89"/>
        <v>0</v>
      </c>
      <c r="N711" s="299"/>
      <c r="O711" s="298">
        <f t="shared" si="90"/>
        <v>0</v>
      </c>
      <c r="P711" s="299"/>
    </row>
    <row r="712" spans="1:16">
      <c r="E712" s="391"/>
      <c r="F712" s="298"/>
      <c r="G712" s="135"/>
      <c r="H712" s="136"/>
      <c r="I712" s="136"/>
      <c r="J712" s="136"/>
      <c r="K712" s="298">
        <f t="shared" ref="K712:K775" si="97">F712+G712+H712+J712+I712</f>
        <v>0</v>
      </c>
      <c r="L712" s="298">
        <v>0</v>
      </c>
      <c r="M712" s="298">
        <f t="shared" ref="M712:M775" si="98">L712-F712</f>
        <v>0</v>
      </c>
      <c r="N712" s="299"/>
      <c r="O712" s="298">
        <f t="shared" ref="O712:O775" si="99">L712-K712</f>
        <v>0</v>
      </c>
      <c r="P712" s="299"/>
    </row>
    <row r="713" spans="1:16">
      <c r="E713" s="315" t="s">
        <v>101</v>
      </c>
      <c r="F713" s="123"/>
      <c r="G713" s="135"/>
      <c r="H713" s="136"/>
      <c r="I713" s="136"/>
      <c r="J713" s="136"/>
      <c r="K713" s="123">
        <f t="shared" si="97"/>
        <v>0</v>
      </c>
      <c r="L713" s="123">
        <v>0</v>
      </c>
      <c r="M713" s="123">
        <f t="shared" si="98"/>
        <v>0</v>
      </c>
      <c r="N713" s="160"/>
      <c r="O713" s="123">
        <f t="shared" si="99"/>
        <v>0</v>
      </c>
      <c r="P713" s="160"/>
    </row>
    <row r="714" spans="1:16" s="10" customFormat="1" ht="26.4">
      <c r="A714" s="135"/>
      <c r="B714" s="135"/>
      <c r="C714" s="482"/>
      <c r="D714" s="482"/>
      <c r="E714" s="37" t="s">
        <v>1233</v>
      </c>
      <c r="F714" s="47">
        <v>32880</v>
      </c>
      <c r="G714" s="135"/>
      <c r="H714" s="136">
        <v>90000</v>
      </c>
      <c r="I714" s="136">
        <v>-90000</v>
      </c>
      <c r="J714" s="136"/>
      <c r="K714" s="47">
        <f t="shared" si="97"/>
        <v>32880</v>
      </c>
      <c r="L714" s="47">
        <v>122880</v>
      </c>
      <c r="M714" s="47">
        <f t="shared" si="98"/>
        <v>90000</v>
      </c>
      <c r="N714" s="96">
        <f t="shared" ref="N714:N775" si="100">M714/F714</f>
        <v>2.7372262773722627</v>
      </c>
      <c r="O714" s="47">
        <f t="shared" si="99"/>
        <v>90000</v>
      </c>
      <c r="P714" s="96">
        <f t="shared" ref="P714:P775" si="101">O714/K714</f>
        <v>2.7372262773722627</v>
      </c>
    </row>
    <row r="715" spans="1:16" s="10" customFormat="1">
      <c r="A715" s="135"/>
      <c r="B715" s="135"/>
      <c r="C715" s="482"/>
      <c r="D715" s="482"/>
      <c r="E715" s="132" t="s">
        <v>47</v>
      </c>
      <c r="F715" s="47"/>
      <c r="G715" s="135"/>
      <c r="H715" s="136"/>
      <c r="I715" s="272">
        <v>3366</v>
      </c>
      <c r="J715" s="272"/>
      <c r="K715" s="51">
        <f t="shared" si="97"/>
        <v>3366</v>
      </c>
      <c r="L715" s="47">
        <v>0</v>
      </c>
      <c r="M715" s="47">
        <f t="shared" si="98"/>
        <v>0</v>
      </c>
      <c r="N715" s="96"/>
      <c r="O715" s="47">
        <f t="shared" si="99"/>
        <v>-3366</v>
      </c>
      <c r="P715" s="96">
        <f t="shared" si="101"/>
        <v>-1</v>
      </c>
    </row>
    <row r="716" spans="1:16">
      <c r="E716" s="60"/>
      <c r="F716" s="76"/>
      <c r="G716" s="135"/>
      <c r="H716" s="136"/>
      <c r="I716" s="136"/>
      <c r="J716" s="136"/>
      <c r="K716" s="76">
        <f t="shared" si="97"/>
        <v>0</v>
      </c>
      <c r="L716" s="76">
        <v>0</v>
      </c>
      <c r="M716" s="76">
        <f t="shared" si="98"/>
        <v>0</v>
      </c>
      <c r="N716" s="100"/>
      <c r="O716" s="76">
        <f t="shared" si="99"/>
        <v>0</v>
      </c>
      <c r="P716" s="100"/>
    </row>
    <row r="717" spans="1:16">
      <c r="E717" s="315" t="s">
        <v>101</v>
      </c>
      <c r="F717" s="123"/>
      <c r="G717" s="135"/>
      <c r="H717" s="136"/>
      <c r="I717" s="136"/>
      <c r="J717" s="136"/>
      <c r="K717" s="123">
        <f t="shared" si="97"/>
        <v>0</v>
      </c>
      <c r="L717" s="123">
        <v>0</v>
      </c>
      <c r="M717" s="123">
        <f t="shared" si="98"/>
        <v>0</v>
      </c>
      <c r="N717" s="160"/>
      <c r="O717" s="123">
        <f t="shared" si="99"/>
        <v>0</v>
      </c>
      <c r="P717" s="160"/>
    </row>
    <row r="718" spans="1:16" s="10" customFormat="1">
      <c r="A718" s="135"/>
      <c r="B718" s="135"/>
      <c r="C718" s="482"/>
      <c r="D718" s="482"/>
      <c r="E718" s="37" t="s">
        <v>116</v>
      </c>
      <c r="F718" s="47">
        <v>302690</v>
      </c>
      <c r="G718" s="135"/>
      <c r="H718" s="136"/>
      <c r="I718" s="136"/>
      <c r="J718" s="136"/>
      <c r="K718" s="47">
        <f t="shared" si="97"/>
        <v>302690</v>
      </c>
      <c r="L718" s="47">
        <v>302690</v>
      </c>
      <c r="M718" s="47">
        <f t="shared" si="98"/>
        <v>0</v>
      </c>
      <c r="N718" s="96">
        <f t="shared" si="100"/>
        <v>0</v>
      </c>
      <c r="O718" s="47">
        <f t="shared" si="99"/>
        <v>0</v>
      </c>
      <c r="P718" s="96">
        <f t="shared" si="101"/>
        <v>0</v>
      </c>
    </row>
    <row r="719" spans="1:16">
      <c r="E719" s="60"/>
      <c r="F719" s="76"/>
      <c r="G719" s="135"/>
      <c r="H719" s="136"/>
      <c r="I719" s="136"/>
      <c r="J719" s="136"/>
      <c r="K719" s="76">
        <f t="shared" si="97"/>
        <v>0</v>
      </c>
      <c r="L719" s="76">
        <v>0</v>
      </c>
      <c r="M719" s="76">
        <f t="shared" si="98"/>
        <v>0</v>
      </c>
      <c r="N719" s="100"/>
      <c r="O719" s="76">
        <f t="shared" si="99"/>
        <v>0</v>
      </c>
      <c r="P719" s="100"/>
    </row>
    <row r="720" spans="1:16">
      <c r="E720" s="315" t="s">
        <v>101</v>
      </c>
      <c r="F720" s="123"/>
      <c r="G720" s="135"/>
      <c r="H720" s="136"/>
      <c r="I720" s="136"/>
      <c r="J720" s="136"/>
      <c r="K720" s="123">
        <f t="shared" si="97"/>
        <v>0</v>
      </c>
      <c r="L720" s="123">
        <v>0</v>
      </c>
      <c r="M720" s="123">
        <f t="shared" si="98"/>
        <v>0</v>
      </c>
      <c r="N720" s="160"/>
      <c r="O720" s="123">
        <f t="shared" si="99"/>
        <v>0</v>
      </c>
      <c r="P720" s="160"/>
    </row>
    <row r="721" spans="1:16" s="10" customFormat="1">
      <c r="A721" s="135"/>
      <c r="B721" s="135"/>
      <c r="C721" s="482"/>
      <c r="D721" s="482"/>
      <c r="E721" s="37" t="s">
        <v>117</v>
      </c>
      <c r="F721" s="47">
        <v>16220</v>
      </c>
      <c r="G721" s="135"/>
      <c r="H721" s="136"/>
      <c r="I721" s="136"/>
      <c r="J721" s="136"/>
      <c r="K721" s="47">
        <f t="shared" si="97"/>
        <v>16220</v>
      </c>
      <c r="L721" s="47">
        <v>0</v>
      </c>
      <c r="M721" s="47">
        <f t="shared" si="98"/>
        <v>-16220</v>
      </c>
      <c r="N721" s="96">
        <f t="shared" si="100"/>
        <v>-1</v>
      </c>
      <c r="O721" s="47">
        <f t="shared" si="99"/>
        <v>-16220</v>
      </c>
      <c r="P721" s="96">
        <f t="shared" si="101"/>
        <v>-1</v>
      </c>
    </row>
    <row r="722" spans="1:16">
      <c r="E722" s="60"/>
      <c r="F722" s="76"/>
      <c r="G722" s="135"/>
      <c r="H722" s="136"/>
      <c r="I722" s="136"/>
      <c r="J722" s="136"/>
      <c r="K722" s="76">
        <f t="shared" si="97"/>
        <v>0</v>
      </c>
      <c r="L722" s="76">
        <v>0</v>
      </c>
      <c r="M722" s="76">
        <f t="shared" si="98"/>
        <v>0</v>
      </c>
      <c r="N722" s="100"/>
      <c r="O722" s="76">
        <f t="shared" si="99"/>
        <v>0</v>
      </c>
      <c r="P722" s="100"/>
    </row>
    <row r="723" spans="1:16">
      <c r="E723" s="315" t="s">
        <v>101</v>
      </c>
      <c r="F723" s="123"/>
      <c r="G723" s="135"/>
      <c r="H723" s="136"/>
      <c r="I723" s="136"/>
      <c r="J723" s="136"/>
      <c r="K723" s="123">
        <f t="shared" si="97"/>
        <v>0</v>
      </c>
      <c r="L723" s="123">
        <v>0</v>
      </c>
      <c r="M723" s="123">
        <f t="shared" si="98"/>
        <v>0</v>
      </c>
      <c r="N723" s="160"/>
      <c r="O723" s="123">
        <f t="shared" si="99"/>
        <v>0</v>
      </c>
      <c r="P723" s="160"/>
    </row>
    <row r="724" spans="1:16" s="10" customFormat="1">
      <c r="A724" s="135"/>
      <c r="B724" s="135"/>
      <c r="C724" s="482"/>
      <c r="D724" s="482"/>
      <c r="E724" s="37" t="s">
        <v>118</v>
      </c>
      <c r="F724" s="47">
        <v>184605</v>
      </c>
      <c r="G724" s="135"/>
      <c r="H724" s="136"/>
      <c r="I724" s="136"/>
      <c r="J724" s="136"/>
      <c r="K724" s="47">
        <f t="shared" si="97"/>
        <v>184605</v>
      </c>
      <c r="L724" s="47">
        <v>184605</v>
      </c>
      <c r="M724" s="47">
        <f t="shared" si="98"/>
        <v>0</v>
      </c>
      <c r="N724" s="96">
        <f t="shared" si="100"/>
        <v>0</v>
      </c>
      <c r="O724" s="47">
        <f t="shared" si="99"/>
        <v>0</v>
      </c>
      <c r="P724" s="96">
        <f t="shared" si="101"/>
        <v>0</v>
      </c>
    </row>
    <row r="725" spans="1:16">
      <c r="E725" s="37"/>
      <c r="F725" s="47"/>
      <c r="G725" s="135"/>
      <c r="H725" s="136"/>
      <c r="I725" s="136"/>
      <c r="J725" s="136"/>
      <c r="K725" s="47">
        <f t="shared" si="97"/>
        <v>0</v>
      </c>
      <c r="L725" s="47">
        <v>0</v>
      </c>
      <c r="M725" s="47">
        <f t="shared" si="98"/>
        <v>0</v>
      </c>
      <c r="N725" s="96"/>
      <c r="O725" s="47">
        <f t="shared" si="99"/>
        <v>0</v>
      </c>
      <c r="P725" s="96"/>
    </row>
    <row r="726" spans="1:16">
      <c r="E726" s="315" t="s">
        <v>101</v>
      </c>
      <c r="F726" s="123"/>
      <c r="G726" s="135"/>
      <c r="H726" s="136"/>
      <c r="I726" s="136"/>
      <c r="J726" s="136"/>
      <c r="K726" s="123">
        <f t="shared" si="97"/>
        <v>0</v>
      </c>
      <c r="L726" s="123">
        <v>0</v>
      </c>
      <c r="M726" s="123">
        <f t="shared" si="98"/>
        <v>0</v>
      </c>
      <c r="N726" s="160"/>
      <c r="O726" s="123">
        <f t="shared" si="99"/>
        <v>0</v>
      </c>
      <c r="P726" s="160"/>
    </row>
    <row r="727" spans="1:16" s="147" customFormat="1">
      <c r="C727" s="536"/>
      <c r="D727" s="536"/>
      <c r="E727" s="37" t="s">
        <v>479</v>
      </c>
      <c r="F727" s="47">
        <v>40000</v>
      </c>
      <c r="H727" s="309"/>
      <c r="I727" s="309"/>
      <c r="J727" s="309"/>
      <c r="K727" s="47">
        <f t="shared" si="97"/>
        <v>40000</v>
      </c>
      <c r="L727" s="47">
        <v>40000</v>
      </c>
      <c r="M727" s="47">
        <f t="shared" si="98"/>
        <v>0</v>
      </c>
      <c r="N727" s="96">
        <f t="shared" si="100"/>
        <v>0</v>
      </c>
      <c r="O727" s="47">
        <f t="shared" si="99"/>
        <v>0</v>
      </c>
      <c r="P727" s="96">
        <f t="shared" si="101"/>
        <v>0</v>
      </c>
    </row>
    <row r="728" spans="1:16">
      <c r="E728" s="60"/>
      <c r="F728" s="76"/>
      <c r="G728" s="135"/>
      <c r="H728" s="136"/>
      <c r="I728" s="136"/>
      <c r="J728" s="136"/>
      <c r="K728" s="76">
        <f t="shared" si="97"/>
        <v>0</v>
      </c>
      <c r="L728" s="76">
        <v>0</v>
      </c>
      <c r="M728" s="76">
        <f t="shared" si="98"/>
        <v>0</v>
      </c>
      <c r="N728" s="100"/>
      <c r="O728" s="76">
        <f t="shared" si="99"/>
        <v>0</v>
      </c>
      <c r="P728" s="100"/>
    </row>
    <row r="729" spans="1:16">
      <c r="C729" s="537" t="s">
        <v>1029</v>
      </c>
      <c r="D729" s="537" t="s">
        <v>952</v>
      </c>
      <c r="E729" s="339" t="s">
        <v>119</v>
      </c>
      <c r="F729" s="123">
        <f>F732+F736+F747+F759+F771+F775+F778+F751+F755+F767+F786+F790</f>
        <v>9594822</v>
      </c>
      <c r="G729" s="123">
        <f>G732+G736+G747+G759+G771+G775+G778+G751+G755+G767+G786+G790</f>
        <v>0</v>
      </c>
      <c r="H729" s="123">
        <f>H732+H736+H751+H759+H771+H775+H778+H755+H767+H786+H790</f>
        <v>1138521</v>
      </c>
      <c r="I729" s="123">
        <f>I732+I736+I751+I759+I771+I775+I778+I755+I767+I786+I790+I747+I794</f>
        <v>-365009</v>
      </c>
      <c r="J729" s="123">
        <f>J732+J736+J747+J759+J771+J775+J778+J751+J755+J767+J786+J790</f>
        <v>348424</v>
      </c>
      <c r="K729" s="123">
        <f t="shared" si="97"/>
        <v>10716758</v>
      </c>
      <c r="L729" s="123">
        <f>L732+L736+L747+L751+L755+L759+L767+L771+L775+L778+L782+L786+L790+L794</f>
        <v>11740258</v>
      </c>
      <c r="M729" s="123">
        <f t="shared" si="98"/>
        <v>2145436</v>
      </c>
      <c r="N729" s="160">
        <f t="shared" si="100"/>
        <v>0.22360352281678597</v>
      </c>
      <c r="O729" s="123">
        <f t="shared" si="99"/>
        <v>1023500</v>
      </c>
      <c r="P729" s="160">
        <f t="shared" si="101"/>
        <v>9.5504629291806351E-2</v>
      </c>
    </row>
    <row r="730" spans="1:16">
      <c r="E730" s="132" t="s">
        <v>47</v>
      </c>
      <c r="F730" s="124">
        <f>F733+F744+F748+F760+F772+F779+F752+F756+F768+F787+F791</f>
        <v>5629330</v>
      </c>
      <c r="G730" s="124">
        <f>G733+G744+G748+G760+G772+G779+G752+G756+G768+G787+G791</f>
        <v>0</v>
      </c>
      <c r="H730" s="124">
        <f>H733+H744+H752+H760+H772+H779+H756+H768+H787+H791</f>
        <v>502032</v>
      </c>
      <c r="I730" s="124">
        <f>I733+I744+I752+I760+I772+I779+I756+I768+I787+I791+I748+I795</f>
        <v>-417891</v>
      </c>
      <c r="J730" s="124">
        <f>J733+J744+J748+J760+J772+J779+J752+J756+J768+J787+J791</f>
        <v>260407</v>
      </c>
      <c r="K730" s="124">
        <f t="shared" si="97"/>
        <v>5973878</v>
      </c>
      <c r="L730" s="124">
        <f>L733+L744+L748+L752+L756+L760+L768+L772+L779+L783+L787+L791+L795</f>
        <v>6918279</v>
      </c>
      <c r="M730" s="124">
        <f t="shared" si="98"/>
        <v>1288949</v>
      </c>
      <c r="N730" s="270">
        <f t="shared" si="100"/>
        <v>0.22897023269198999</v>
      </c>
      <c r="O730" s="124">
        <f t="shared" si="99"/>
        <v>944401</v>
      </c>
      <c r="P730" s="270">
        <f t="shared" si="101"/>
        <v>0.15808843099909306</v>
      </c>
    </row>
    <row r="731" spans="1:16">
      <c r="E731" s="315" t="s">
        <v>101</v>
      </c>
      <c r="F731" s="123"/>
      <c r="G731" s="135"/>
      <c r="H731" s="136"/>
      <c r="I731" s="136"/>
      <c r="J731" s="136"/>
      <c r="K731" s="123">
        <f t="shared" si="97"/>
        <v>0</v>
      </c>
      <c r="L731" s="123">
        <v>0</v>
      </c>
      <c r="M731" s="123">
        <f t="shared" si="98"/>
        <v>0</v>
      </c>
      <c r="N731" s="160"/>
      <c r="O731" s="123">
        <f t="shared" si="99"/>
        <v>0</v>
      </c>
      <c r="P731" s="160"/>
    </row>
    <row r="732" spans="1:16">
      <c r="E732" s="37" t="s">
        <v>485</v>
      </c>
      <c r="F732" s="47">
        <v>772971</v>
      </c>
      <c r="G732" s="135"/>
      <c r="H732" s="136">
        <v>9826</v>
      </c>
      <c r="I732" s="136">
        <v>2875</v>
      </c>
      <c r="J732" s="136">
        <v>77605</v>
      </c>
      <c r="K732" s="47">
        <f t="shared" si="97"/>
        <v>863277</v>
      </c>
      <c r="L732" s="47">
        <v>906003</v>
      </c>
      <c r="M732" s="47">
        <f t="shared" si="98"/>
        <v>133032</v>
      </c>
      <c r="N732" s="96">
        <f t="shared" si="100"/>
        <v>0.17210477495274726</v>
      </c>
      <c r="O732" s="47">
        <f t="shared" si="99"/>
        <v>42726</v>
      </c>
      <c r="P732" s="96">
        <f t="shared" si="101"/>
        <v>4.9492804742857742E-2</v>
      </c>
    </row>
    <row r="733" spans="1:16" s="10" customFormat="1">
      <c r="A733" s="135"/>
      <c r="B733" s="135"/>
      <c r="C733" s="482"/>
      <c r="D733" s="482"/>
      <c r="E733" s="323" t="s">
        <v>47</v>
      </c>
      <c r="F733" s="124">
        <v>519830</v>
      </c>
      <c r="G733" s="135"/>
      <c r="H733" s="272">
        <v>4944</v>
      </c>
      <c r="I733" s="272"/>
      <c r="J733" s="272">
        <v>58001</v>
      </c>
      <c r="K733" s="124">
        <f t="shared" si="97"/>
        <v>582775</v>
      </c>
      <c r="L733" s="124">
        <v>612891</v>
      </c>
      <c r="M733" s="124">
        <f t="shared" si="98"/>
        <v>93061</v>
      </c>
      <c r="N733" s="270">
        <f t="shared" si="100"/>
        <v>0.17902198795760152</v>
      </c>
      <c r="O733" s="124">
        <f t="shared" si="99"/>
        <v>30116</v>
      </c>
      <c r="P733" s="270">
        <f t="shared" si="101"/>
        <v>5.1676890738278067E-2</v>
      </c>
    </row>
    <row r="734" spans="1:16">
      <c r="E734" s="61"/>
      <c r="F734" s="76"/>
      <c r="G734" s="135"/>
      <c r="H734" s="136"/>
      <c r="I734" s="136"/>
      <c r="J734" s="136"/>
      <c r="K734" s="76">
        <f t="shared" si="97"/>
        <v>0</v>
      </c>
      <c r="L734" s="76">
        <v>0</v>
      </c>
      <c r="M734" s="76">
        <f t="shared" si="98"/>
        <v>0</v>
      </c>
      <c r="N734" s="100"/>
      <c r="O734" s="76">
        <f t="shared" si="99"/>
        <v>0</v>
      </c>
      <c r="P734" s="100"/>
    </row>
    <row r="735" spans="1:16">
      <c r="E735" s="315" t="s">
        <v>101</v>
      </c>
      <c r="F735" s="123"/>
      <c r="G735" s="135"/>
      <c r="H735" s="136"/>
      <c r="I735" s="136"/>
      <c r="J735" s="136"/>
      <c r="K735" s="123">
        <f t="shared" si="97"/>
        <v>0</v>
      </c>
      <c r="L735" s="123">
        <v>0</v>
      </c>
      <c r="M735" s="123">
        <f t="shared" si="98"/>
        <v>0</v>
      </c>
      <c r="N735" s="160"/>
      <c r="O735" s="123">
        <f t="shared" si="99"/>
        <v>0</v>
      </c>
      <c r="P735" s="160"/>
    </row>
    <row r="736" spans="1:16">
      <c r="E736" s="37" t="s">
        <v>486</v>
      </c>
      <c r="F736" s="47">
        <f>F737+F738+F739+F740+F741+F742+F743</f>
        <v>680394</v>
      </c>
      <c r="G736" s="47">
        <f>G737+G738+G739+G740+G741+G742+G743</f>
        <v>0</v>
      </c>
      <c r="H736" s="47">
        <f>H737+H738+H739+H740+H741+H742+H743</f>
        <v>14516</v>
      </c>
      <c r="I736" s="47">
        <f>I737+I738+I739+I740+I741+I742+I743</f>
        <v>34444</v>
      </c>
      <c r="J736" s="47">
        <f>J737+J738+J739+J740+J741+J742+J743</f>
        <v>0</v>
      </c>
      <c r="K736" s="47">
        <f t="shared" si="97"/>
        <v>729354</v>
      </c>
      <c r="L736" s="47">
        <f>L737+L738+L739+L740+L741+L742+L743</f>
        <v>772386</v>
      </c>
      <c r="M736" s="47">
        <f t="shared" si="98"/>
        <v>91992</v>
      </c>
      <c r="N736" s="96">
        <f t="shared" si="100"/>
        <v>0.13520401414474553</v>
      </c>
      <c r="O736" s="47">
        <f t="shared" si="99"/>
        <v>43032</v>
      </c>
      <c r="P736" s="96">
        <f t="shared" si="101"/>
        <v>5.9000156302700744E-2</v>
      </c>
    </row>
    <row r="737" spans="1:16">
      <c r="E737" s="62" t="s">
        <v>365</v>
      </c>
      <c r="F737" s="49">
        <v>122500</v>
      </c>
      <c r="G737" s="135"/>
      <c r="H737" s="381">
        <v>14516</v>
      </c>
      <c r="I737" s="381">
        <v>34444</v>
      </c>
      <c r="J737" s="136"/>
      <c r="K737" s="49">
        <f t="shared" si="97"/>
        <v>171460</v>
      </c>
      <c r="L737" s="49">
        <v>207203</v>
      </c>
      <c r="M737" s="49">
        <f t="shared" si="98"/>
        <v>84703</v>
      </c>
      <c r="N737" s="98">
        <f t="shared" si="100"/>
        <v>0.6914530612244898</v>
      </c>
      <c r="O737" s="49">
        <f t="shared" si="99"/>
        <v>35743</v>
      </c>
      <c r="P737" s="98">
        <f t="shared" si="101"/>
        <v>0.20846261518721568</v>
      </c>
    </row>
    <row r="738" spans="1:16">
      <c r="E738" s="62" t="s">
        <v>366</v>
      </c>
      <c r="F738" s="49">
        <v>98410</v>
      </c>
      <c r="G738" s="135"/>
      <c r="H738" s="136"/>
      <c r="I738" s="381">
        <v>-2020</v>
      </c>
      <c r="J738" s="136"/>
      <c r="K738" s="49">
        <f t="shared" si="97"/>
        <v>96390</v>
      </c>
      <c r="L738" s="49">
        <v>98410</v>
      </c>
      <c r="M738" s="49">
        <f t="shared" si="98"/>
        <v>0</v>
      </c>
      <c r="N738" s="98">
        <f t="shared" si="100"/>
        <v>0</v>
      </c>
      <c r="O738" s="49">
        <f t="shared" si="99"/>
        <v>2020</v>
      </c>
      <c r="P738" s="98">
        <f t="shared" si="101"/>
        <v>2.0956530760452331E-2</v>
      </c>
    </row>
    <row r="739" spans="1:16">
      <c r="E739" s="62" t="s">
        <v>1194</v>
      </c>
      <c r="F739" s="49">
        <v>39680</v>
      </c>
      <c r="G739" s="135"/>
      <c r="H739" s="136"/>
      <c r="I739" s="381"/>
      <c r="J739" s="136"/>
      <c r="K739" s="49">
        <f t="shared" si="97"/>
        <v>39680</v>
      </c>
      <c r="L739" s="49">
        <v>43648</v>
      </c>
      <c r="M739" s="49">
        <f t="shared" si="98"/>
        <v>3968</v>
      </c>
      <c r="N739" s="98">
        <f t="shared" si="100"/>
        <v>0.1</v>
      </c>
      <c r="O739" s="49">
        <f t="shared" si="99"/>
        <v>3968</v>
      </c>
      <c r="P739" s="98">
        <f t="shared" si="101"/>
        <v>0.1</v>
      </c>
    </row>
    <row r="740" spans="1:16">
      <c r="E740" s="62" t="s">
        <v>367</v>
      </c>
      <c r="F740" s="49">
        <v>17481</v>
      </c>
      <c r="G740" s="135"/>
      <c r="H740" s="136"/>
      <c r="I740" s="381"/>
      <c r="J740" s="136"/>
      <c r="K740" s="49">
        <f t="shared" si="97"/>
        <v>17481</v>
      </c>
      <c r="L740" s="49">
        <v>20802</v>
      </c>
      <c r="M740" s="49">
        <f t="shared" si="98"/>
        <v>3321</v>
      </c>
      <c r="N740" s="98">
        <f t="shared" si="100"/>
        <v>0.18997769006349752</v>
      </c>
      <c r="O740" s="49">
        <f t="shared" si="99"/>
        <v>3321</v>
      </c>
      <c r="P740" s="98">
        <f t="shared" si="101"/>
        <v>0.18997769006349752</v>
      </c>
    </row>
    <row r="741" spans="1:16">
      <c r="E741" s="62" t="s">
        <v>368</v>
      </c>
      <c r="F741" s="49">
        <v>12500</v>
      </c>
      <c r="G741" s="135"/>
      <c r="H741" s="136"/>
      <c r="I741" s="381">
        <v>-4415</v>
      </c>
      <c r="J741" s="136"/>
      <c r="K741" s="49">
        <f t="shared" si="97"/>
        <v>8085</v>
      </c>
      <c r="L741" s="49">
        <v>12500</v>
      </c>
      <c r="M741" s="49">
        <f t="shared" si="98"/>
        <v>0</v>
      </c>
      <c r="N741" s="98">
        <f t="shared" si="100"/>
        <v>0</v>
      </c>
      <c r="O741" s="49">
        <f t="shared" si="99"/>
        <v>4415</v>
      </c>
      <c r="P741" s="98">
        <f t="shared" si="101"/>
        <v>0.54607297464440319</v>
      </c>
    </row>
    <row r="742" spans="1:16">
      <c r="E742" s="387" t="s">
        <v>120</v>
      </c>
      <c r="F742" s="298">
        <v>45545</v>
      </c>
      <c r="G742" s="135"/>
      <c r="H742" s="136"/>
      <c r="I742" s="381"/>
      <c r="J742" s="136"/>
      <c r="K742" s="298">
        <f t="shared" si="97"/>
        <v>45545</v>
      </c>
      <c r="L742" s="298">
        <v>45545</v>
      </c>
      <c r="M742" s="298">
        <f t="shared" si="98"/>
        <v>0</v>
      </c>
      <c r="N742" s="299">
        <f t="shared" si="100"/>
        <v>0</v>
      </c>
      <c r="O742" s="298">
        <f t="shared" si="99"/>
        <v>0</v>
      </c>
      <c r="P742" s="299">
        <f t="shared" si="101"/>
        <v>0</v>
      </c>
    </row>
    <row r="743" spans="1:16">
      <c r="E743" s="387" t="s">
        <v>369</v>
      </c>
      <c r="F743" s="298">
        <f>364278-20000</f>
        <v>344278</v>
      </c>
      <c r="G743" s="135"/>
      <c r="H743" s="136"/>
      <c r="I743" s="381">
        <v>6435</v>
      </c>
      <c r="J743" s="136"/>
      <c r="K743" s="298">
        <f t="shared" si="97"/>
        <v>350713</v>
      </c>
      <c r="L743" s="298">
        <v>344278</v>
      </c>
      <c r="M743" s="298">
        <f t="shared" si="98"/>
        <v>0</v>
      </c>
      <c r="N743" s="299">
        <f t="shared" si="100"/>
        <v>0</v>
      </c>
      <c r="O743" s="298">
        <f t="shared" si="99"/>
        <v>-6435</v>
      </c>
      <c r="P743" s="299">
        <f t="shared" si="101"/>
        <v>-1.8348336103879811E-2</v>
      </c>
    </row>
    <row r="744" spans="1:16" s="10" customFormat="1">
      <c r="A744" s="135"/>
      <c r="B744" s="135"/>
      <c r="C744" s="482"/>
      <c r="D744" s="482"/>
      <c r="E744" s="323" t="s">
        <v>47</v>
      </c>
      <c r="F744" s="124">
        <v>84676</v>
      </c>
      <c r="G744" s="135"/>
      <c r="H744" s="272">
        <v>2000</v>
      </c>
      <c r="I744" s="272">
        <v>-6985</v>
      </c>
      <c r="J744" s="136"/>
      <c r="K744" s="124">
        <f t="shared" si="97"/>
        <v>79691</v>
      </c>
      <c r="L744" s="124">
        <v>69326</v>
      </c>
      <c r="M744" s="124">
        <f t="shared" si="98"/>
        <v>-15350</v>
      </c>
      <c r="N744" s="270">
        <f t="shared" si="100"/>
        <v>-0.18127922906136332</v>
      </c>
      <c r="O744" s="124">
        <f t="shared" si="99"/>
        <v>-10365</v>
      </c>
      <c r="P744" s="270">
        <f t="shared" si="101"/>
        <v>-0.13006487558193522</v>
      </c>
    </row>
    <row r="745" spans="1:16">
      <c r="E745" s="65"/>
      <c r="F745" s="47"/>
      <c r="G745" s="135"/>
      <c r="H745" s="136"/>
      <c r="I745" s="136"/>
      <c r="J745" s="136"/>
      <c r="K745" s="47">
        <f t="shared" si="97"/>
        <v>0</v>
      </c>
      <c r="L745" s="47">
        <v>0</v>
      </c>
      <c r="M745" s="47">
        <f t="shared" si="98"/>
        <v>0</v>
      </c>
      <c r="N745" s="96"/>
      <c r="O745" s="47">
        <f t="shared" si="99"/>
        <v>0</v>
      </c>
      <c r="P745" s="96"/>
    </row>
    <row r="746" spans="1:16">
      <c r="E746" s="315" t="s">
        <v>101</v>
      </c>
      <c r="F746" s="123"/>
      <c r="G746" s="135"/>
      <c r="H746" s="136"/>
      <c r="I746" s="136"/>
      <c r="J746" s="136"/>
      <c r="K746" s="123">
        <f t="shared" si="97"/>
        <v>0</v>
      </c>
      <c r="L746" s="123">
        <v>0</v>
      </c>
      <c r="M746" s="123">
        <f t="shared" si="98"/>
        <v>0</v>
      </c>
      <c r="N746" s="160"/>
      <c r="O746" s="123">
        <f t="shared" si="99"/>
        <v>0</v>
      </c>
      <c r="P746" s="160"/>
    </row>
    <row r="747" spans="1:16" ht="36.6">
      <c r="E747" s="37" t="s">
        <v>1234</v>
      </c>
      <c r="F747" s="47">
        <v>2193899</v>
      </c>
      <c r="G747" s="135"/>
      <c r="H747" s="135"/>
      <c r="I747" s="136">
        <v>-600000</v>
      </c>
      <c r="J747" s="136">
        <v>34611</v>
      </c>
      <c r="K747" s="47">
        <f t="shared" si="97"/>
        <v>1628510</v>
      </c>
      <c r="L747" s="47">
        <v>3211804</v>
      </c>
      <c r="M747" s="47">
        <f t="shared" si="98"/>
        <v>1017905</v>
      </c>
      <c r="N747" s="96">
        <f t="shared" si="100"/>
        <v>0.46397076620209043</v>
      </c>
      <c r="O747" s="47">
        <f t="shared" si="99"/>
        <v>1583294</v>
      </c>
      <c r="P747" s="96">
        <f t="shared" si="101"/>
        <v>0.97223474218764394</v>
      </c>
    </row>
    <row r="748" spans="1:16" s="10" customFormat="1">
      <c r="A748" s="135"/>
      <c r="B748" s="135"/>
      <c r="C748" s="482"/>
      <c r="D748" s="482"/>
      <c r="E748" s="323" t="s">
        <v>47</v>
      </c>
      <c r="F748" s="124">
        <v>1611443</v>
      </c>
      <c r="G748" s="135"/>
      <c r="H748" s="135"/>
      <c r="I748" s="272">
        <v>-448430</v>
      </c>
      <c r="J748" s="272">
        <v>25868</v>
      </c>
      <c r="K748" s="124">
        <f t="shared" si="97"/>
        <v>1188881</v>
      </c>
      <c r="L748" s="124">
        <v>2366272</v>
      </c>
      <c r="M748" s="124">
        <f t="shared" si="98"/>
        <v>754829</v>
      </c>
      <c r="N748" s="270">
        <f t="shared" si="100"/>
        <v>0.46841805760427146</v>
      </c>
      <c r="O748" s="124">
        <f t="shared" si="99"/>
        <v>1177391</v>
      </c>
      <c r="P748" s="270">
        <f t="shared" si="101"/>
        <v>0.99033544988943389</v>
      </c>
    </row>
    <row r="749" spans="1:16">
      <c r="E749" s="60"/>
      <c r="F749" s="76"/>
      <c r="G749" s="135"/>
      <c r="H749" s="136"/>
      <c r="I749" s="136"/>
      <c r="J749" s="136"/>
      <c r="K749" s="76">
        <f t="shared" si="97"/>
        <v>0</v>
      </c>
      <c r="L749" s="76">
        <v>0</v>
      </c>
      <c r="M749" s="76">
        <f t="shared" si="98"/>
        <v>0</v>
      </c>
      <c r="N749" s="100"/>
      <c r="O749" s="76">
        <f t="shared" si="99"/>
        <v>0</v>
      </c>
      <c r="P749" s="100"/>
    </row>
    <row r="750" spans="1:16">
      <c r="E750" s="315" t="s">
        <v>101</v>
      </c>
      <c r="F750" s="123"/>
      <c r="G750" s="135"/>
      <c r="H750" s="136"/>
      <c r="I750" s="136"/>
      <c r="J750" s="136"/>
      <c r="K750" s="123">
        <f t="shared" si="97"/>
        <v>0</v>
      </c>
      <c r="L750" s="123">
        <v>0</v>
      </c>
      <c r="M750" s="123">
        <f t="shared" si="98"/>
        <v>0</v>
      </c>
      <c r="N750" s="160"/>
      <c r="O750" s="123">
        <f t="shared" si="99"/>
        <v>0</v>
      </c>
      <c r="P750" s="160"/>
    </row>
    <row r="751" spans="1:16" ht="52.8">
      <c r="E751" s="37" t="s">
        <v>1235</v>
      </c>
      <c r="F751" s="47">
        <v>1656840</v>
      </c>
      <c r="G751" s="135"/>
      <c r="H751" s="136">
        <v>239807</v>
      </c>
      <c r="I751" s="136"/>
      <c r="J751" s="136"/>
      <c r="K751" s="47">
        <f t="shared" si="97"/>
        <v>1896647</v>
      </c>
      <c r="L751" s="47">
        <v>550000</v>
      </c>
      <c r="M751" s="47">
        <f t="shared" si="98"/>
        <v>-1106840</v>
      </c>
      <c r="N751" s="96">
        <f t="shared" si="100"/>
        <v>-0.66804278023224939</v>
      </c>
      <c r="O751" s="47">
        <f t="shared" si="99"/>
        <v>-1346647</v>
      </c>
      <c r="P751" s="96">
        <f t="shared" si="101"/>
        <v>-0.7100145678136206</v>
      </c>
    </row>
    <row r="752" spans="1:16">
      <c r="E752" s="323" t="s">
        <v>47</v>
      </c>
      <c r="F752" s="124">
        <v>738415</v>
      </c>
      <c r="G752" s="135"/>
      <c r="H752" s="272">
        <v>179228</v>
      </c>
      <c r="I752" s="272">
        <v>192660</v>
      </c>
      <c r="J752" s="136"/>
      <c r="K752" s="124">
        <f t="shared" si="97"/>
        <v>1110303</v>
      </c>
      <c r="L752" s="124">
        <v>0</v>
      </c>
      <c r="M752" s="124">
        <f t="shared" si="98"/>
        <v>-738415</v>
      </c>
      <c r="N752" s="270">
        <f t="shared" si="100"/>
        <v>-1</v>
      </c>
      <c r="O752" s="124">
        <f t="shared" si="99"/>
        <v>-1110303</v>
      </c>
      <c r="P752" s="270">
        <f t="shared" si="101"/>
        <v>-1</v>
      </c>
    </row>
    <row r="753" spans="1:16" s="10" customFormat="1">
      <c r="A753" s="135"/>
      <c r="B753" s="135"/>
      <c r="C753" s="482"/>
      <c r="D753" s="482"/>
      <c r="E753" s="60"/>
      <c r="F753" s="76"/>
      <c r="G753" s="135"/>
      <c r="H753" s="136"/>
      <c r="I753" s="136"/>
      <c r="J753" s="136"/>
      <c r="K753" s="76">
        <f t="shared" si="97"/>
        <v>0</v>
      </c>
      <c r="L753" s="76">
        <v>0</v>
      </c>
      <c r="M753" s="76">
        <f t="shared" si="98"/>
        <v>0</v>
      </c>
      <c r="N753" s="100"/>
      <c r="O753" s="76">
        <f t="shared" si="99"/>
        <v>0</v>
      </c>
      <c r="P753" s="100"/>
    </row>
    <row r="754" spans="1:16" s="10" customFormat="1">
      <c r="A754" s="135"/>
      <c r="B754" s="135"/>
      <c r="C754" s="482"/>
      <c r="D754" s="482"/>
      <c r="E754" s="315" t="s">
        <v>101</v>
      </c>
      <c r="F754" s="123"/>
      <c r="G754" s="135"/>
      <c r="H754" s="136"/>
      <c r="I754" s="136"/>
      <c r="J754" s="136"/>
      <c r="K754" s="123">
        <f t="shared" si="97"/>
        <v>0</v>
      </c>
      <c r="L754" s="123">
        <v>0</v>
      </c>
      <c r="M754" s="123">
        <f t="shared" si="98"/>
        <v>0</v>
      </c>
      <c r="N754" s="160"/>
      <c r="O754" s="123">
        <f t="shared" si="99"/>
        <v>0</v>
      </c>
      <c r="P754" s="160"/>
    </row>
    <row r="755" spans="1:16" s="10" customFormat="1">
      <c r="A755" s="135"/>
      <c r="B755" s="135"/>
      <c r="C755" s="482"/>
      <c r="D755" s="482"/>
      <c r="E755" s="37" t="s">
        <v>897</v>
      </c>
      <c r="F755" s="47">
        <f>480000-20000</f>
        <v>460000</v>
      </c>
      <c r="G755" s="135"/>
      <c r="H755" s="136">
        <v>65000</v>
      </c>
      <c r="I755" s="136"/>
      <c r="J755" s="136">
        <v>4094</v>
      </c>
      <c r="K755" s="47">
        <f t="shared" si="97"/>
        <v>529094</v>
      </c>
      <c r="L755" s="47">
        <v>465993</v>
      </c>
      <c r="M755" s="47">
        <f t="shared" si="98"/>
        <v>5993</v>
      </c>
      <c r="N755" s="96">
        <f t="shared" si="100"/>
        <v>1.3028260869565217E-2</v>
      </c>
      <c r="O755" s="47">
        <f t="shared" si="99"/>
        <v>-63101</v>
      </c>
      <c r="P755" s="96">
        <f t="shared" si="101"/>
        <v>-0.11926236169754335</v>
      </c>
    </row>
    <row r="756" spans="1:16">
      <c r="E756" s="323" t="s">
        <v>47</v>
      </c>
      <c r="F756" s="124">
        <v>336320</v>
      </c>
      <c r="G756" s="135"/>
      <c r="H756" s="272">
        <v>-50000</v>
      </c>
      <c r="I756" s="272"/>
      <c r="J756" s="272">
        <v>3060</v>
      </c>
      <c r="K756" s="124">
        <f t="shared" si="97"/>
        <v>289380</v>
      </c>
      <c r="L756" s="124">
        <v>257812</v>
      </c>
      <c r="M756" s="124">
        <f t="shared" si="98"/>
        <v>-78508</v>
      </c>
      <c r="N756" s="270">
        <f t="shared" si="100"/>
        <v>-0.2334324452901998</v>
      </c>
      <c r="O756" s="124">
        <f t="shared" si="99"/>
        <v>-31568</v>
      </c>
      <c r="P756" s="270">
        <f t="shared" si="101"/>
        <v>-0.1090883958808487</v>
      </c>
    </row>
    <row r="757" spans="1:16" s="10" customFormat="1">
      <c r="A757" s="135"/>
      <c r="B757" s="135"/>
      <c r="C757" s="482"/>
      <c r="D757" s="482"/>
      <c r="E757" s="60"/>
      <c r="F757" s="76"/>
      <c r="G757" s="135"/>
      <c r="H757" s="136"/>
      <c r="I757" s="136"/>
      <c r="J757" s="136"/>
      <c r="K757" s="76">
        <f t="shared" si="97"/>
        <v>0</v>
      </c>
      <c r="L757" s="76">
        <v>0</v>
      </c>
      <c r="M757" s="76">
        <f t="shared" si="98"/>
        <v>0</v>
      </c>
      <c r="N757" s="100"/>
      <c r="O757" s="76">
        <f t="shared" si="99"/>
        <v>0</v>
      </c>
      <c r="P757" s="100"/>
    </row>
    <row r="758" spans="1:16" s="10" customFormat="1">
      <c r="A758" s="135"/>
      <c r="B758" s="135"/>
      <c r="C758" s="482"/>
      <c r="D758" s="482"/>
      <c r="E758" s="315" t="s">
        <v>101</v>
      </c>
      <c r="F758" s="123"/>
      <c r="G758" s="135"/>
      <c r="H758" s="136"/>
      <c r="I758" s="136"/>
      <c r="J758" s="136"/>
      <c r="K758" s="123">
        <f t="shared" si="97"/>
        <v>0</v>
      </c>
      <c r="L758" s="123">
        <v>0</v>
      </c>
      <c r="M758" s="123">
        <f t="shared" si="98"/>
        <v>0</v>
      </c>
      <c r="N758" s="160"/>
      <c r="O758" s="123">
        <f t="shared" si="99"/>
        <v>0</v>
      </c>
      <c r="P758" s="160"/>
    </row>
    <row r="759" spans="1:16" s="10" customFormat="1" ht="23.4">
      <c r="A759" s="135"/>
      <c r="B759" s="135"/>
      <c r="C759" s="482"/>
      <c r="D759" s="482"/>
      <c r="E759" s="37" t="s">
        <v>487</v>
      </c>
      <c r="F759" s="47">
        <f t="shared" ref="F759:J760" si="102">F761+F763</f>
        <v>1282600</v>
      </c>
      <c r="G759" s="47">
        <f t="shared" si="102"/>
        <v>0</v>
      </c>
      <c r="H759" s="47">
        <f t="shared" si="102"/>
        <v>41900</v>
      </c>
      <c r="I759" s="47">
        <f t="shared" si="102"/>
        <v>43105</v>
      </c>
      <c r="J759" s="47">
        <f t="shared" si="102"/>
        <v>90721</v>
      </c>
      <c r="K759" s="47">
        <f t="shared" si="97"/>
        <v>1458326</v>
      </c>
      <c r="L759" s="47">
        <f>L761+L763</f>
        <v>1415284</v>
      </c>
      <c r="M759" s="47">
        <f t="shared" si="98"/>
        <v>132684</v>
      </c>
      <c r="N759" s="96">
        <f t="shared" si="100"/>
        <v>0.10344924372368626</v>
      </c>
      <c r="O759" s="47">
        <f t="shared" si="99"/>
        <v>-43042</v>
      </c>
      <c r="P759" s="96">
        <f t="shared" si="101"/>
        <v>-2.9514662702303875E-2</v>
      </c>
    </row>
    <row r="760" spans="1:16" s="10" customFormat="1">
      <c r="A760" s="135"/>
      <c r="B760" s="135"/>
      <c r="C760" s="482"/>
      <c r="D760" s="482"/>
      <c r="E760" s="323" t="s">
        <v>47</v>
      </c>
      <c r="F760" s="124">
        <f t="shared" si="102"/>
        <v>816024</v>
      </c>
      <c r="G760" s="124">
        <f t="shared" si="102"/>
        <v>0</v>
      </c>
      <c r="H760" s="124">
        <f t="shared" si="102"/>
        <v>4000</v>
      </c>
      <c r="I760" s="124">
        <f t="shared" si="102"/>
        <v>27000</v>
      </c>
      <c r="J760" s="124">
        <f t="shared" si="102"/>
        <v>67803</v>
      </c>
      <c r="K760" s="124">
        <f t="shared" si="97"/>
        <v>914827</v>
      </c>
      <c r="L760" s="124">
        <f>L762+L764</f>
        <v>899307</v>
      </c>
      <c r="M760" s="124">
        <f t="shared" si="98"/>
        <v>83283</v>
      </c>
      <c r="N760" s="270">
        <f t="shared" si="100"/>
        <v>0.10205949825005146</v>
      </c>
      <c r="O760" s="124">
        <f t="shared" si="99"/>
        <v>-15520</v>
      </c>
      <c r="P760" s="270">
        <f t="shared" si="101"/>
        <v>-1.6964956215765385E-2</v>
      </c>
    </row>
    <row r="761" spans="1:16" s="10" customFormat="1">
      <c r="A761" s="135"/>
      <c r="B761" s="135"/>
      <c r="C761" s="482"/>
      <c r="D761" s="482"/>
      <c r="E761" s="387" t="s">
        <v>598</v>
      </c>
      <c r="F761" s="298">
        <v>456495</v>
      </c>
      <c r="G761" s="135"/>
      <c r="H761" s="136"/>
      <c r="I761" s="381">
        <v>30105</v>
      </c>
      <c r="J761" s="381">
        <v>19684</v>
      </c>
      <c r="K761" s="298">
        <f t="shared" si="97"/>
        <v>506284</v>
      </c>
      <c r="L761" s="298">
        <v>480115</v>
      </c>
      <c r="M761" s="298">
        <f t="shared" si="98"/>
        <v>23620</v>
      </c>
      <c r="N761" s="299">
        <f t="shared" si="100"/>
        <v>5.1742078226486597E-2</v>
      </c>
      <c r="O761" s="298">
        <f t="shared" si="99"/>
        <v>-26169</v>
      </c>
      <c r="P761" s="299">
        <f t="shared" si="101"/>
        <v>-5.1688380434696729E-2</v>
      </c>
    </row>
    <row r="762" spans="1:16">
      <c r="E762" s="389" t="s">
        <v>47</v>
      </c>
      <c r="F762" s="277">
        <v>302407</v>
      </c>
      <c r="G762" s="135"/>
      <c r="H762" s="136"/>
      <c r="I762" s="279">
        <v>22500</v>
      </c>
      <c r="J762" s="279">
        <v>14711</v>
      </c>
      <c r="K762" s="277">
        <f t="shared" si="97"/>
        <v>339618</v>
      </c>
      <c r="L762" s="277">
        <v>320060</v>
      </c>
      <c r="M762" s="277">
        <f t="shared" si="98"/>
        <v>17653</v>
      </c>
      <c r="N762" s="278">
        <f t="shared" si="100"/>
        <v>5.8374971478834817E-2</v>
      </c>
      <c r="O762" s="277">
        <f t="shared" si="99"/>
        <v>-19558</v>
      </c>
      <c r="P762" s="278">
        <f t="shared" si="101"/>
        <v>-5.7588231483608053E-2</v>
      </c>
    </row>
    <row r="763" spans="1:16">
      <c r="E763" s="388" t="s">
        <v>599</v>
      </c>
      <c r="F763" s="298">
        <v>826105</v>
      </c>
      <c r="G763" s="135"/>
      <c r="H763" s="381">
        <v>41900</v>
      </c>
      <c r="I763" s="381">
        <v>13000</v>
      </c>
      <c r="J763" s="381">
        <v>71037</v>
      </c>
      <c r="K763" s="298">
        <f t="shared" si="97"/>
        <v>952042</v>
      </c>
      <c r="L763" s="298">
        <v>935169</v>
      </c>
      <c r="M763" s="298">
        <f t="shared" si="98"/>
        <v>109064</v>
      </c>
      <c r="N763" s="299">
        <f t="shared" si="100"/>
        <v>0.13202195846774925</v>
      </c>
      <c r="O763" s="298">
        <f t="shared" si="99"/>
        <v>-16873</v>
      </c>
      <c r="P763" s="299">
        <f t="shared" si="101"/>
        <v>-1.7722957600610056E-2</v>
      </c>
    </row>
    <row r="764" spans="1:16">
      <c r="E764" s="389" t="s">
        <v>47</v>
      </c>
      <c r="F764" s="277">
        <v>513617</v>
      </c>
      <c r="G764" s="135"/>
      <c r="H764" s="279">
        <v>4000</v>
      </c>
      <c r="I764" s="279">
        <v>4500</v>
      </c>
      <c r="J764" s="279">
        <v>53092</v>
      </c>
      <c r="K764" s="277">
        <f t="shared" si="97"/>
        <v>575209</v>
      </c>
      <c r="L764" s="277">
        <v>579247</v>
      </c>
      <c r="M764" s="277">
        <f t="shared" si="98"/>
        <v>65630</v>
      </c>
      <c r="N764" s="278">
        <f t="shared" si="100"/>
        <v>0.12778003843330732</v>
      </c>
      <c r="O764" s="277">
        <f t="shared" si="99"/>
        <v>4038</v>
      </c>
      <c r="P764" s="278">
        <f t="shared" si="101"/>
        <v>7.0200570575217006E-3</v>
      </c>
    </row>
    <row r="765" spans="1:16">
      <c r="E765" s="60"/>
      <c r="F765" s="76"/>
      <c r="G765" s="135"/>
      <c r="H765" s="381"/>
      <c r="I765" s="381"/>
      <c r="J765" s="136"/>
      <c r="K765" s="76">
        <f t="shared" si="97"/>
        <v>0</v>
      </c>
      <c r="L765" s="76">
        <v>0</v>
      </c>
      <c r="M765" s="76">
        <f t="shared" si="98"/>
        <v>0</v>
      </c>
      <c r="N765" s="100"/>
      <c r="O765" s="76">
        <f t="shared" si="99"/>
        <v>0</v>
      </c>
      <c r="P765" s="100"/>
    </row>
    <row r="766" spans="1:16">
      <c r="E766" s="315" t="s">
        <v>101</v>
      </c>
      <c r="F766" s="123"/>
      <c r="G766" s="135"/>
      <c r="H766" s="136"/>
      <c r="I766" s="136"/>
      <c r="J766" s="136"/>
      <c r="K766" s="123">
        <f t="shared" si="97"/>
        <v>0</v>
      </c>
      <c r="L766" s="123">
        <v>0</v>
      </c>
      <c r="M766" s="123">
        <f t="shared" si="98"/>
        <v>0</v>
      </c>
      <c r="N766" s="160"/>
      <c r="O766" s="123">
        <f t="shared" si="99"/>
        <v>0</v>
      </c>
      <c r="P766" s="160"/>
    </row>
    <row r="767" spans="1:16" ht="26.4">
      <c r="E767" s="37" t="s">
        <v>898</v>
      </c>
      <c r="F767" s="47">
        <v>162000</v>
      </c>
      <c r="G767" s="135"/>
      <c r="H767" s="136"/>
      <c r="I767" s="136"/>
      <c r="J767" s="136"/>
      <c r="K767" s="47">
        <f t="shared" si="97"/>
        <v>162000</v>
      </c>
      <c r="L767" s="47">
        <v>328500</v>
      </c>
      <c r="M767" s="47">
        <f t="shared" si="98"/>
        <v>166500</v>
      </c>
      <c r="N767" s="96">
        <f t="shared" si="100"/>
        <v>1.0277777777777777</v>
      </c>
      <c r="O767" s="47">
        <f t="shared" si="99"/>
        <v>166500</v>
      </c>
      <c r="P767" s="96">
        <f t="shared" si="101"/>
        <v>1.0277777777777777</v>
      </c>
    </row>
    <row r="768" spans="1:16" s="10" customFormat="1">
      <c r="A768" s="135"/>
      <c r="B768" s="135"/>
      <c r="C768" s="482"/>
      <c r="D768" s="482"/>
      <c r="E768" s="323" t="s">
        <v>47</v>
      </c>
      <c r="F768" s="124">
        <v>76000</v>
      </c>
      <c r="G768" s="135"/>
      <c r="H768" s="136"/>
      <c r="I768" s="136"/>
      <c r="J768" s="136"/>
      <c r="K768" s="124">
        <f t="shared" si="97"/>
        <v>76000</v>
      </c>
      <c r="L768" s="124">
        <v>112620</v>
      </c>
      <c r="M768" s="124">
        <f t="shared" si="98"/>
        <v>36620</v>
      </c>
      <c r="N768" s="270">
        <f t="shared" si="100"/>
        <v>0.4818421052631579</v>
      </c>
      <c r="O768" s="124">
        <f t="shared" si="99"/>
        <v>36620</v>
      </c>
      <c r="P768" s="270">
        <f t="shared" si="101"/>
        <v>0.4818421052631579</v>
      </c>
    </row>
    <row r="769" spans="1:16">
      <c r="E769" s="37"/>
      <c r="F769" s="47"/>
      <c r="G769" s="135"/>
      <c r="H769" s="136"/>
      <c r="I769" s="136"/>
      <c r="J769" s="136"/>
      <c r="K769" s="47">
        <f t="shared" si="97"/>
        <v>0</v>
      </c>
      <c r="L769" s="47">
        <v>0</v>
      </c>
      <c r="M769" s="47">
        <f t="shared" si="98"/>
        <v>0</v>
      </c>
      <c r="N769" s="96"/>
      <c r="O769" s="47">
        <f t="shared" si="99"/>
        <v>0</v>
      </c>
      <c r="P769" s="96"/>
    </row>
    <row r="770" spans="1:16">
      <c r="E770" s="315" t="s">
        <v>101</v>
      </c>
      <c r="F770" s="123"/>
      <c r="G770" s="135"/>
      <c r="H770" s="136"/>
      <c r="I770" s="136"/>
      <c r="J770" s="136"/>
      <c r="K770" s="123">
        <f t="shared" si="97"/>
        <v>0</v>
      </c>
      <c r="L770" s="123">
        <v>0</v>
      </c>
      <c r="M770" s="123">
        <f t="shared" si="98"/>
        <v>0</v>
      </c>
      <c r="N770" s="160"/>
      <c r="O770" s="123">
        <f t="shared" si="99"/>
        <v>0</v>
      </c>
      <c r="P770" s="160"/>
    </row>
    <row r="771" spans="1:16">
      <c r="E771" s="63" t="s">
        <v>488</v>
      </c>
      <c r="F771" s="74">
        <v>1259138</v>
      </c>
      <c r="G771" s="135"/>
      <c r="H771" s="136">
        <v>29200</v>
      </c>
      <c r="I771" s="136">
        <v>4800</v>
      </c>
      <c r="J771" s="136">
        <v>89108</v>
      </c>
      <c r="K771" s="74">
        <f t="shared" si="97"/>
        <v>1382246</v>
      </c>
      <c r="L771" s="74">
        <v>1404150</v>
      </c>
      <c r="M771" s="74">
        <f t="shared" si="98"/>
        <v>145012</v>
      </c>
      <c r="N771" s="95">
        <f t="shared" si="100"/>
        <v>0.11516767820524836</v>
      </c>
      <c r="O771" s="74">
        <f t="shared" si="99"/>
        <v>21904</v>
      </c>
      <c r="P771" s="95">
        <f t="shared" si="101"/>
        <v>1.5846672734086409E-2</v>
      </c>
    </row>
    <row r="772" spans="1:16">
      <c r="E772" s="323" t="s">
        <v>47</v>
      </c>
      <c r="F772" s="124">
        <v>826446</v>
      </c>
      <c r="G772" s="135"/>
      <c r="H772" s="136"/>
      <c r="I772" s="136"/>
      <c r="J772" s="272">
        <v>66598</v>
      </c>
      <c r="K772" s="124">
        <f t="shared" si="97"/>
        <v>893044</v>
      </c>
      <c r="L772" s="124">
        <v>915244</v>
      </c>
      <c r="M772" s="124">
        <f t="shared" si="98"/>
        <v>88798</v>
      </c>
      <c r="N772" s="270">
        <f t="shared" si="100"/>
        <v>0.10744561653150962</v>
      </c>
      <c r="O772" s="124">
        <f t="shared" si="99"/>
        <v>22200</v>
      </c>
      <c r="P772" s="270">
        <f t="shared" si="101"/>
        <v>2.485879755084856E-2</v>
      </c>
    </row>
    <row r="773" spans="1:16">
      <c r="E773" s="60"/>
      <c r="F773" s="76"/>
      <c r="G773" s="135"/>
      <c r="H773" s="136"/>
      <c r="I773" s="136"/>
      <c r="J773" s="136"/>
      <c r="K773" s="76">
        <f t="shared" si="97"/>
        <v>0</v>
      </c>
      <c r="L773" s="76">
        <v>0</v>
      </c>
      <c r="M773" s="76">
        <f t="shared" si="98"/>
        <v>0</v>
      </c>
      <c r="N773" s="100"/>
      <c r="O773" s="76">
        <f t="shared" si="99"/>
        <v>0</v>
      </c>
      <c r="P773" s="100"/>
    </row>
    <row r="774" spans="1:16">
      <c r="E774" s="315" t="s">
        <v>101</v>
      </c>
      <c r="F774" s="123"/>
      <c r="G774" s="135"/>
      <c r="H774" s="136"/>
      <c r="I774" s="136"/>
      <c r="J774" s="136"/>
      <c r="K774" s="123">
        <f t="shared" si="97"/>
        <v>0</v>
      </c>
      <c r="L774" s="123">
        <v>0</v>
      </c>
      <c r="M774" s="123">
        <f t="shared" si="98"/>
        <v>0</v>
      </c>
      <c r="N774" s="160"/>
      <c r="O774" s="123">
        <f t="shared" si="99"/>
        <v>0</v>
      </c>
      <c r="P774" s="160"/>
    </row>
    <row r="775" spans="1:16" s="10" customFormat="1">
      <c r="A775" s="135"/>
      <c r="B775" s="135"/>
      <c r="C775" s="482"/>
      <c r="D775" s="482"/>
      <c r="E775" s="63" t="s">
        <v>370</v>
      </c>
      <c r="F775" s="74">
        <v>11340</v>
      </c>
      <c r="G775" s="135"/>
      <c r="H775" s="136"/>
      <c r="I775" s="136"/>
      <c r="J775" s="136"/>
      <c r="K775" s="74">
        <f t="shared" si="97"/>
        <v>11340</v>
      </c>
      <c r="L775" s="74">
        <v>11340</v>
      </c>
      <c r="M775" s="74">
        <f t="shared" si="98"/>
        <v>0</v>
      </c>
      <c r="N775" s="95">
        <f t="shared" si="100"/>
        <v>0</v>
      </c>
      <c r="O775" s="74">
        <f t="shared" si="99"/>
        <v>0</v>
      </c>
      <c r="P775" s="95">
        <f t="shared" si="101"/>
        <v>0</v>
      </c>
    </row>
    <row r="776" spans="1:16">
      <c r="E776" s="37"/>
      <c r="F776" s="47"/>
      <c r="G776" s="135"/>
      <c r="H776" s="136"/>
      <c r="I776" s="136"/>
      <c r="J776" s="136"/>
      <c r="K776" s="47">
        <f t="shared" ref="K776:K839" si="103">F776+G776+H776+J776+I776</f>
        <v>0</v>
      </c>
      <c r="L776" s="47">
        <v>0</v>
      </c>
      <c r="M776" s="47">
        <f t="shared" ref="M776:M839" si="104">L776-F776</f>
        <v>0</v>
      </c>
      <c r="N776" s="96"/>
      <c r="O776" s="47">
        <f t="shared" ref="O776:O839" si="105">L776-K776</f>
        <v>0</v>
      </c>
      <c r="P776" s="96"/>
    </row>
    <row r="777" spans="1:16" s="10" customFormat="1">
      <c r="A777" s="135"/>
      <c r="B777" s="135"/>
      <c r="C777" s="482"/>
      <c r="D777" s="482"/>
      <c r="E777" s="315" t="s">
        <v>101</v>
      </c>
      <c r="F777" s="123"/>
      <c r="G777" s="135"/>
      <c r="H777" s="136"/>
      <c r="I777" s="136"/>
      <c r="J777" s="136"/>
      <c r="K777" s="123">
        <f t="shared" si="103"/>
        <v>0</v>
      </c>
      <c r="L777" s="123">
        <v>0</v>
      </c>
      <c r="M777" s="123">
        <f t="shared" si="104"/>
        <v>0</v>
      </c>
      <c r="N777" s="160"/>
      <c r="O777" s="123">
        <f t="shared" si="105"/>
        <v>0</v>
      </c>
      <c r="P777" s="160"/>
    </row>
    <row r="778" spans="1:16" s="10" customFormat="1">
      <c r="A778" s="135"/>
      <c r="B778" s="135"/>
      <c r="C778" s="482"/>
      <c r="D778" s="482"/>
      <c r="E778" s="37" t="s">
        <v>489</v>
      </c>
      <c r="F778" s="47">
        <v>1012204</v>
      </c>
      <c r="G778" s="135"/>
      <c r="H778" s="136">
        <v>229473</v>
      </c>
      <c r="I778" s="136">
        <v>491933</v>
      </c>
      <c r="J778" s="136">
        <v>52285</v>
      </c>
      <c r="K778" s="47">
        <f t="shared" si="103"/>
        <v>1785895</v>
      </c>
      <c r="L778" s="47">
        <v>1354282</v>
      </c>
      <c r="M778" s="47">
        <f t="shared" si="104"/>
        <v>342078</v>
      </c>
      <c r="N778" s="96">
        <f t="shared" ref="N778:N839" si="106">M778/F778</f>
        <v>0.3379536140936017</v>
      </c>
      <c r="O778" s="47">
        <f t="shared" si="105"/>
        <v>-431613</v>
      </c>
      <c r="P778" s="96">
        <f t="shared" ref="P778:P839" si="107">O778/K778</f>
        <v>-0.24167882210320316</v>
      </c>
    </row>
    <row r="779" spans="1:16" s="147" customFormat="1">
      <c r="C779" s="536"/>
      <c r="D779" s="536"/>
      <c r="E779" s="323" t="s">
        <v>47</v>
      </c>
      <c r="F779" s="124">
        <v>555702</v>
      </c>
      <c r="H779" s="392">
        <v>99060</v>
      </c>
      <c r="I779" s="392">
        <v>5182</v>
      </c>
      <c r="J779" s="392">
        <v>39077</v>
      </c>
      <c r="K779" s="124">
        <f t="shared" si="103"/>
        <v>699021</v>
      </c>
      <c r="L779" s="124">
        <v>815530</v>
      </c>
      <c r="M779" s="124">
        <f t="shared" si="104"/>
        <v>259828</v>
      </c>
      <c r="N779" s="270">
        <f t="shared" si="106"/>
        <v>0.46756714929944465</v>
      </c>
      <c r="O779" s="124">
        <f t="shared" si="105"/>
        <v>116509</v>
      </c>
      <c r="P779" s="270">
        <f t="shared" si="107"/>
        <v>0.16667453481368943</v>
      </c>
    </row>
    <row r="780" spans="1:16" s="147" customFormat="1">
      <c r="C780" s="536"/>
      <c r="D780" s="536"/>
      <c r="E780" s="323"/>
      <c r="F780" s="124"/>
      <c r="H780" s="309"/>
      <c r="I780" s="309"/>
      <c r="J780" s="392"/>
      <c r="K780" s="124">
        <f t="shared" si="103"/>
        <v>0</v>
      </c>
      <c r="L780" s="124"/>
      <c r="M780" s="124">
        <f t="shared" si="104"/>
        <v>0</v>
      </c>
      <c r="N780" s="270"/>
      <c r="O780" s="124">
        <f t="shared" si="105"/>
        <v>0</v>
      </c>
      <c r="P780" s="270"/>
    </row>
    <row r="781" spans="1:16" s="147" customFormat="1">
      <c r="C781" s="536"/>
      <c r="D781" s="536"/>
      <c r="E781" s="315" t="s">
        <v>101</v>
      </c>
      <c r="F781" s="124"/>
      <c r="H781" s="309"/>
      <c r="I781" s="309"/>
      <c r="J781" s="392"/>
      <c r="K781" s="124">
        <f t="shared" si="103"/>
        <v>0</v>
      </c>
      <c r="L781" s="124">
        <v>0</v>
      </c>
      <c r="M781" s="124">
        <f t="shared" si="104"/>
        <v>0</v>
      </c>
      <c r="N781" s="270"/>
      <c r="O781" s="124">
        <f t="shared" si="105"/>
        <v>0</v>
      </c>
      <c r="P781" s="270"/>
    </row>
    <row r="782" spans="1:16" s="147" customFormat="1" ht="26.4">
      <c r="C782" s="536"/>
      <c r="D782" s="536"/>
      <c r="E782" s="78" t="s">
        <v>899</v>
      </c>
      <c r="F782" s="124"/>
      <c r="H782" s="136"/>
      <c r="I782" s="136"/>
      <c r="J782" s="392"/>
      <c r="K782" s="124">
        <f t="shared" si="103"/>
        <v>0</v>
      </c>
      <c r="L782" s="268">
        <v>0</v>
      </c>
      <c r="M782" s="268">
        <f t="shared" si="104"/>
        <v>0</v>
      </c>
      <c r="N782" s="157"/>
      <c r="O782" s="268">
        <f t="shared" si="105"/>
        <v>0</v>
      </c>
      <c r="P782" s="157"/>
    </row>
    <row r="783" spans="1:16" s="147" customFormat="1">
      <c r="C783" s="536"/>
      <c r="D783" s="536"/>
      <c r="E783" s="323" t="s">
        <v>47</v>
      </c>
      <c r="F783" s="124"/>
      <c r="H783" s="136"/>
      <c r="I783" s="136"/>
      <c r="J783" s="392"/>
      <c r="K783" s="124">
        <f t="shared" si="103"/>
        <v>0</v>
      </c>
      <c r="L783" s="124">
        <v>0</v>
      </c>
      <c r="M783" s="124">
        <f t="shared" si="104"/>
        <v>0</v>
      </c>
      <c r="N783" s="270"/>
      <c r="O783" s="124">
        <f t="shared" si="105"/>
        <v>0</v>
      </c>
      <c r="P783" s="270"/>
    </row>
    <row r="784" spans="1:16">
      <c r="E784" s="393"/>
      <c r="F784" s="321"/>
      <c r="G784" s="135"/>
      <c r="H784" s="136"/>
      <c r="I784" s="136"/>
      <c r="J784" s="136"/>
      <c r="K784" s="124">
        <f t="shared" si="103"/>
        <v>0</v>
      </c>
      <c r="L784" s="321">
        <v>0</v>
      </c>
      <c r="M784" s="321">
        <f t="shared" si="104"/>
        <v>0</v>
      </c>
      <c r="N784" s="322"/>
      <c r="O784" s="321">
        <f t="shared" si="105"/>
        <v>0</v>
      </c>
      <c r="P784" s="322"/>
    </row>
    <row r="785" spans="1:16" s="10" customFormat="1">
      <c r="A785" s="135"/>
      <c r="B785" s="135"/>
      <c r="C785" s="482"/>
      <c r="D785" s="482"/>
      <c r="E785" s="315" t="s">
        <v>101</v>
      </c>
      <c r="F785" s="123"/>
      <c r="G785" s="135"/>
      <c r="H785" s="136"/>
      <c r="I785" s="136"/>
      <c r="J785" s="136"/>
      <c r="K785" s="124">
        <f t="shared" si="103"/>
        <v>0</v>
      </c>
      <c r="L785" s="123">
        <v>0</v>
      </c>
      <c r="M785" s="123">
        <f t="shared" si="104"/>
        <v>0</v>
      </c>
      <c r="N785" s="160"/>
      <c r="O785" s="123">
        <f t="shared" si="105"/>
        <v>0</v>
      </c>
      <c r="P785" s="160"/>
    </row>
    <row r="786" spans="1:16" s="10" customFormat="1">
      <c r="A786" s="135"/>
      <c r="B786" s="135"/>
      <c r="C786" s="482"/>
      <c r="D786" s="482"/>
      <c r="E786" s="37" t="s">
        <v>900</v>
      </c>
      <c r="F786" s="47">
        <v>41300</v>
      </c>
      <c r="G786" s="135"/>
      <c r="H786" s="136">
        <v>493700</v>
      </c>
      <c r="I786" s="136">
        <v>-400000</v>
      </c>
      <c r="J786" s="136"/>
      <c r="K786" s="47">
        <f t="shared" si="103"/>
        <v>135000</v>
      </c>
      <c r="L786" s="47">
        <v>535296</v>
      </c>
      <c r="M786" s="47">
        <f t="shared" si="104"/>
        <v>493996</v>
      </c>
      <c r="N786" s="96">
        <f t="shared" si="106"/>
        <v>11.961162227602905</v>
      </c>
      <c r="O786" s="47">
        <f t="shared" si="105"/>
        <v>400296</v>
      </c>
      <c r="P786" s="96">
        <f t="shared" si="107"/>
        <v>2.9651555555555555</v>
      </c>
    </row>
    <row r="787" spans="1:16" s="147" customFormat="1">
      <c r="C787" s="536"/>
      <c r="D787" s="536"/>
      <c r="E787" s="323" t="s">
        <v>47</v>
      </c>
      <c r="F787" s="124">
        <v>25000</v>
      </c>
      <c r="H787" s="392">
        <v>262800</v>
      </c>
      <c r="I787" s="392">
        <v>-217000</v>
      </c>
      <c r="J787" s="309"/>
      <c r="K787" s="124">
        <f t="shared" si="103"/>
        <v>70800</v>
      </c>
      <c r="L787" s="124">
        <v>429048</v>
      </c>
      <c r="M787" s="124">
        <f t="shared" si="104"/>
        <v>404048</v>
      </c>
      <c r="N787" s="270">
        <f t="shared" si="106"/>
        <v>16.161919999999999</v>
      </c>
      <c r="O787" s="124">
        <f t="shared" si="105"/>
        <v>358248</v>
      </c>
      <c r="P787" s="270">
        <f t="shared" si="107"/>
        <v>5.0599999999999996</v>
      </c>
    </row>
    <row r="788" spans="1:16">
      <c r="E788" s="393"/>
      <c r="F788" s="321"/>
      <c r="G788" s="135"/>
      <c r="H788" s="136"/>
      <c r="I788" s="136"/>
      <c r="J788" s="136"/>
      <c r="K788" s="321">
        <f t="shared" si="103"/>
        <v>0</v>
      </c>
      <c r="L788" s="321">
        <v>0</v>
      </c>
      <c r="M788" s="321">
        <f t="shared" si="104"/>
        <v>0</v>
      </c>
      <c r="N788" s="322"/>
      <c r="O788" s="321">
        <f t="shared" si="105"/>
        <v>0</v>
      </c>
      <c r="P788" s="322"/>
    </row>
    <row r="789" spans="1:16">
      <c r="E789" s="315" t="s">
        <v>101</v>
      </c>
      <c r="F789" s="123"/>
      <c r="G789" s="135"/>
      <c r="H789" s="136"/>
      <c r="I789" s="136"/>
      <c r="J789" s="136"/>
      <c r="K789" s="123">
        <f t="shared" si="103"/>
        <v>0</v>
      </c>
      <c r="L789" s="123">
        <v>0</v>
      </c>
      <c r="M789" s="123">
        <f t="shared" si="104"/>
        <v>0</v>
      </c>
      <c r="N789" s="160"/>
      <c r="O789" s="123">
        <f t="shared" si="105"/>
        <v>0</v>
      </c>
      <c r="P789" s="160"/>
    </row>
    <row r="790" spans="1:16" s="10" customFormat="1" ht="26.4">
      <c r="A790" s="135"/>
      <c r="B790" s="135"/>
      <c r="C790" s="482"/>
      <c r="D790" s="482"/>
      <c r="E790" s="37" t="s">
        <v>901</v>
      </c>
      <c r="F790" s="47">
        <v>62136</v>
      </c>
      <c r="G790" s="135"/>
      <c r="H790" s="136">
        <v>15099</v>
      </c>
      <c r="I790" s="136"/>
      <c r="J790" s="136"/>
      <c r="K790" s="47">
        <f t="shared" si="103"/>
        <v>77235</v>
      </c>
      <c r="L790" s="47">
        <v>62136</v>
      </c>
      <c r="M790" s="47">
        <f t="shared" si="104"/>
        <v>0</v>
      </c>
      <c r="N790" s="96">
        <f t="shared" si="106"/>
        <v>0</v>
      </c>
      <c r="O790" s="47">
        <f t="shared" si="105"/>
        <v>-15099</v>
      </c>
      <c r="P790" s="96">
        <f t="shared" si="107"/>
        <v>-0.19549427073218101</v>
      </c>
    </row>
    <row r="791" spans="1:16" s="10" customFormat="1">
      <c r="A791" s="135"/>
      <c r="B791" s="135"/>
      <c r="C791" s="482"/>
      <c r="D791" s="482"/>
      <c r="E791" s="323" t="s">
        <v>47</v>
      </c>
      <c r="F791" s="124">
        <v>39474</v>
      </c>
      <c r="G791" s="135"/>
      <c r="H791" s="136"/>
      <c r="I791" s="136"/>
      <c r="J791" s="136"/>
      <c r="K791" s="124">
        <f t="shared" si="103"/>
        <v>39474</v>
      </c>
      <c r="L791" s="124">
        <v>39474</v>
      </c>
      <c r="M791" s="124">
        <f t="shared" si="104"/>
        <v>0</v>
      </c>
      <c r="N791" s="270">
        <f t="shared" si="106"/>
        <v>0</v>
      </c>
      <c r="O791" s="124">
        <f t="shared" si="105"/>
        <v>0</v>
      </c>
      <c r="P791" s="270">
        <f t="shared" si="107"/>
        <v>0</v>
      </c>
    </row>
    <row r="792" spans="1:16" s="10" customFormat="1">
      <c r="A792" s="135"/>
      <c r="B792" s="135"/>
      <c r="C792" s="482"/>
      <c r="D792" s="482"/>
      <c r="E792" s="323"/>
      <c r="F792" s="124"/>
      <c r="G792" s="135"/>
      <c r="H792" s="136"/>
      <c r="I792" s="136"/>
      <c r="J792" s="136"/>
      <c r="K792" s="124">
        <f t="shared" si="103"/>
        <v>0</v>
      </c>
      <c r="L792" s="124">
        <v>0</v>
      </c>
      <c r="M792" s="124">
        <f t="shared" si="104"/>
        <v>0</v>
      </c>
      <c r="N792" s="270"/>
      <c r="O792" s="124">
        <f t="shared" si="105"/>
        <v>0</v>
      </c>
      <c r="P792" s="270"/>
    </row>
    <row r="793" spans="1:16" s="10" customFormat="1">
      <c r="A793" s="135"/>
      <c r="B793" s="135"/>
      <c r="C793" s="482"/>
      <c r="D793" s="482"/>
      <c r="E793" s="315" t="s">
        <v>101</v>
      </c>
      <c r="F793" s="124"/>
      <c r="G793" s="135"/>
      <c r="H793" s="136"/>
      <c r="I793" s="136"/>
      <c r="J793" s="136"/>
      <c r="K793" s="124">
        <f t="shared" si="103"/>
        <v>0</v>
      </c>
      <c r="L793" s="124">
        <v>0</v>
      </c>
      <c r="M793" s="124">
        <f t="shared" si="104"/>
        <v>0</v>
      </c>
      <c r="N793" s="270"/>
      <c r="O793" s="124">
        <f t="shared" si="105"/>
        <v>0</v>
      </c>
      <c r="P793" s="270"/>
    </row>
    <row r="794" spans="1:16" s="10" customFormat="1" ht="23.4">
      <c r="A794" s="135"/>
      <c r="B794" s="135"/>
      <c r="C794" s="482"/>
      <c r="D794" s="482"/>
      <c r="E794" s="37" t="s">
        <v>1193</v>
      </c>
      <c r="F794" s="124"/>
      <c r="G794" s="135"/>
      <c r="H794" s="136"/>
      <c r="I794" s="136">
        <v>57834</v>
      </c>
      <c r="J794" s="136"/>
      <c r="K794" s="268">
        <f t="shared" si="103"/>
        <v>57834</v>
      </c>
      <c r="L794" s="268">
        <v>723084</v>
      </c>
      <c r="M794" s="268">
        <f t="shared" si="104"/>
        <v>723084</v>
      </c>
      <c r="N794" s="157"/>
      <c r="O794" s="268">
        <f t="shared" si="105"/>
        <v>665250</v>
      </c>
      <c r="P794" s="157">
        <f t="shared" si="107"/>
        <v>11.502749247847287</v>
      </c>
    </row>
    <row r="795" spans="1:16" s="10" customFormat="1">
      <c r="A795" s="135"/>
      <c r="B795" s="135"/>
      <c r="C795" s="482"/>
      <c r="D795" s="482"/>
      <c r="E795" s="132" t="s">
        <v>47</v>
      </c>
      <c r="F795" s="124"/>
      <c r="G795" s="135"/>
      <c r="H795" s="136"/>
      <c r="I795" s="272">
        <v>29682</v>
      </c>
      <c r="J795" s="136"/>
      <c r="K795" s="124">
        <f t="shared" si="103"/>
        <v>29682</v>
      </c>
      <c r="L795" s="124">
        <v>400755</v>
      </c>
      <c r="M795" s="124">
        <f t="shared" si="104"/>
        <v>400755</v>
      </c>
      <c r="N795" s="270"/>
      <c r="O795" s="124">
        <f t="shared" si="105"/>
        <v>371073</v>
      </c>
      <c r="P795" s="270">
        <f t="shared" si="107"/>
        <v>12.501617141702042</v>
      </c>
    </row>
    <row r="796" spans="1:16" s="147" customFormat="1">
      <c r="C796" s="536"/>
      <c r="D796" s="536"/>
      <c r="E796" s="60"/>
      <c r="F796" s="76"/>
      <c r="H796" s="309"/>
      <c r="I796" s="309"/>
      <c r="J796" s="309"/>
      <c r="K796" s="76">
        <f t="shared" si="103"/>
        <v>0</v>
      </c>
      <c r="L796" s="76">
        <v>0</v>
      </c>
      <c r="M796" s="76">
        <f t="shared" si="104"/>
        <v>0</v>
      </c>
      <c r="N796" s="100"/>
      <c r="O796" s="76">
        <f t="shared" si="105"/>
        <v>0</v>
      </c>
      <c r="P796" s="100"/>
    </row>
    <row r="797" spans="1:16" s="147" customFormat="1">
      <c r="C797" s="537" t="s">
        <v>1029</v>
      </c>
      <c r="D797" s="537" t="s">
        <v>982</v>
      </c>
      <c r="E797" s="394" t="s">
        <v>121</v>
      </c>
      <c r="F797" s="395">
        <f>F800+F803+F806+F809+F812+F817+F820+F823+F827</f>
        <v>4469613</v>
      </c>
      <c r="H797" s="395">
        <f t="shared" ref="H797:J797" si="108">H800+H803+H806+H809+H812+H817+H820+H823+H827</f>
        <v>36755</v>
      </c>
      <c r="I797" s="395">
        <f t="shared" si="108"/>
        <v>89680</v>
      </c>
      <c r="J797" s="395">
        <f t="shared" si="108"/>
        <v>182549</v>
      </c>
      <c r="K797" s="395">
        <f t="shared" si="103"/>
        <v>4778597</v>
      </c>
      <c r="L797" s="395">
        <f>L800+L803+L806+L809+L812+L817+L820+L823+L827</f>
        <v>4836770</v>
      </c>
      <c r="M797" s="395">
        <f t="shared" si="104"/>
        <v>367157</v>
      </c>
      <c r="N797" s="370">
        <f t="shared" si="106"/>
        <v>8.2145143214859995E-2</v>
      </c>
      <c r="O797" s="395">
        <f t="shared" si="105"/>
        <v>58173</v>
      </c>
      <c r="P797" s="370">
        <f t="shared" si="107"/>
        <v>1.217365682856286E-2</v>
      </c>
    </row>
    <row r="798" spans="1:16" s="147" customFormat="1">
      <c r="C798" s="536"/>
      <c r="D798" s="536"/>
      <c r="E798" s="132" t="s">
        <v>47</v>
      </c>
      <c r="F798" s="124">
        <f>F824</f>
        <v>1882442</v>
      </c>
      <c r="H798" s="309"/>
      <c r="I798" s="309"/>
      <c r="J798" s="124">
        <f t="shared" ref="J798" si="109">J824</f>
        <v>136435</v>
      </c>
      <c r="K798" s="124">
        <f t="shared" si="103"/>
        <v>2018877</v>
      </c>
      <c r="L798" s="124">
        <f>L824</f>
        <v>2273178</v>
      </c>
      <c r="M798" s="124">
        <f t="shared" si="104"/>
        <v>390736</v>
      </c>
      <c r="N798" s="270">
        <f t="shared" si="106"/>
        <v>0.20756867940685556</v>
      </c>
      <c r="O798" s="124">
        <f t="shared" si="105"/>
        <v>254301</v>
      </c>
      <c r="P798" s="270">
        <f t="shared" si="107"/>
        <v>0.12596161133144812</v>
      </c>
    </row>
    <row r="799" spans="1:16" s="147" customFormat="1">
      <c r="C799" s="536"/>
      <c r="D799" s="536"/>
      <c r="E799" s="315" t="s">
        <v>101</v>
      </c>
      <c r="F799" s="123"/>
      <c r="H799" s="309"/>
      <c r="I799" s="309"/>
      <c r="J799" s="309"/>
      <c r="K799" s="123">
        <f t="shared" si="103"/>
        <v>0</v>
      </c>
      <c r="L799" s="123">
        <v>0</v>
      </c>
      <c r="M799" s="123">
        <f t="shared" si="104"/>
        <v>0</v>
      </c>
      <c r="N799" s="160"/>
      <c r="O799" s="123">
        <f t="shared" si="105"/>
        <v>0</v>
      </c>
      <c r="P799" s="160"/>
    </row>
    <row r="800" spans="1:16" ht="26.4">
      <c r="E800" s="37" t="s">
        <v>122</v>
      </c>
      <c r="F800" s="47">
        <v>235070</v>
      </c>
      <c r="G800" s="135"/>
      <c r="H800" s="136"/>
      <c r="I800" s="136">
        <v>8196</v>
      </c>
      <c r="J800" s="136"/>
      <c r="K800" s="47">
        <f t="shared" si="103"/>
        <v>243266</v>
      </c>
      <c r="L800" s="47">
        <v>0</v>
      </c>
      <c r="M800" s="47">
        <f t="shared" si="104"/>
        <v>-235070</v>
      </c>
      <c r="N800" s="96">
        <f t="shared" si="106"/>
        <v>-1</v>
      </c>
      <c r="O800" s="47">
        <f t="shared" si="105"/>
        <v>-243266</v>
      </c>
      <c r="P800" s="96">
        <f t="shared" si="107"/>
        <v>-1</v>
      </c>
    </row>
    <row r="801" spans="3:16" s="147" customFormat="1">
      <c r="C801" s="536"/>
      <c r="D801" s="536"/>
      <c r="E801" s="396"/>
      <c r="F801" s="281"/>
      <c r="H801" s="309"/>
      <c r="I801" s="309"/>
      <c r="J801" s="309"/>
      <c r="K801" s="281">
        <f t="shared" si="103"/>
        <v>0</v>
      </c>
      <c r="L801" s="281">
        <v>0</v>
      </c>
      <c r="M801" s="281">
        <f t="shared" si="104"/>
        <v>0</v>
      </c>
      <c r="N801" s="282"/>
      <c r="O801" s="281">
        <f t="shared" si="105"/>
        <v>0</v>
      </c>
      <c r="P801" s="282"/>
    </row>
    <row r="802" spans="3:16">
      <c r="E802" s="315" t="s">
        <v>101</v>
      </c>
      <c r="F802" s="123"/>
      <c r="G802" s="135"/>
      <c r="H802" s="136"/>
      <c r="I802" s="136"/>
      <c r="J802" s="136"/>
      <c r="K802" s="123">
        <f t="shared" si="103"/>
        <v>0</v>
      </c>
      <c r="L802" s="123">
        <v>0</v>
      </c>
      <c r="M802" s="123">
        <f t="shared" si="104"/>
        <v>0</v>
      </c>
      <c r="N802" s="160"/>
      <c r="O802" s="123">
        <f t="shared" si="105"/>
        <v>0</v>
      </c>
      <c r="P802" s="160"/>
    </row>
    <row r="803" spans="3:16">
      <c r="E803" s="37" t="s">
        <v>123</v>
      </c>
      <c r="F803" s="47">
        <v>185310</v>
      </c>
      <c r="G803" s="135"/>
      <c r="H803" s="136"/>
      <c r="I803" s="136">
        <v>8184</v>
      </c>
      <c r="J803" s="136"/>
      <c r="K803" s="47">
        <f t="shared" si="103"/>
        <v>193494</v>
      </c>
      <c r="L803" s="47">
        <v>0</v>
      </c>
      <c r="M803" s="47">
        <f t="shared" si="104"/>
        <v>-185310</v>
      </c>
      <c r="N803" s="96">
        <f t="shared" si="106"/>
        <v>-1</v>
      </c>
      <c r="O803" s="47">
        <f t="shared" si="105"/>
        <v>-193494</v>
      </c>
      <c r="P803" s="96">
        <f t="shared" si="107"/>
        <v>-1</v>
      </c>
    </row>
    <row r="804" spans="3:16" s="147" customFormat="1">
      <c r="C804" s="536"/>
      <c r="D804" s="536"/>
      <c r="E804" s="396"/>
      <c r="F804" s="281"/>
      <c r="H804" s="309"/>
      <c r="I804" s="309"/>
      <c r="J804" s="309"/>
      <c r="K804" s="281">
        <f t="shared" si="103"/>
        <v>0</v>
      </c>
      <c r="L804" s="281">
        <v>0</v>
      </c>
      <c r="M804" s="281">
        <f t="shared" si="104"/>
        <v>0</v>
      </c>
      <c r="N804" s="282"/>
      <c r="O804" s="281">
        <f t="shared" si="105"/>
        <v>0</v>
      </c>
      <c r="P804" s="282"/>
    </row>
    <row r="805" spans="3:16">
      <c r="E805" s="315" t="s">
        <v>101</v>
      </c>
      <c r="F805" s="123"/>
      <c r="G805" s="135"/>
      <c r="H805" s="136"/>
      <c r="I805" s="136"/>
      <c r="J805" s="136"/>
      <c r="K805" s="123">
        <f t="shared" si="103"/>
        <v>0</v>
      </c>
      <c r="L805" s="123">
        <v>0</v>
      </c>
      <c r="M805" s="123">
        <f t="shared" si="104"/>
        <v>0</v>
      </c>
      <c r="N805" s="160"/>
      <c r="O805" s="123">
        <f t="shared" si="105"/>
        <v>0</v>
      </c>
      <c r="P805" s="160"/>
    </row>
    <row r="806" spans="3:16">
      <c r="E806" s="37" t="s">
        <v>124</v>
      </c>
      <c r="F806" s="47">
        <v>155050</v>
      </c>
      <c r="G806" s="135"/>
      <c r="H806" s="136"/>
      <c r="I806" s="136">
        <v>-6000</v>
      </c>
      <c r="J806" s="136"/>
      <c r="K806" s="47">
        <f t="shared" si="103"/>
        <v>149050</v>
      </c>
      <c r="L806" s="47">
        <v>155050</v>
      </c>
      <c r="M806" s="47">
        <f t="shared" si="104"/>
        <v>0</v>
      </c>
      <c r="N806" s="96">
        <f t="shared" si="106"/>
        <v>0</v>
      </c>
      <c r="O806" s="47">
        <f t="shared" si="105"/>
        <v>6000</v>
      </c>
      <c r="P806" s="96">
        <f t="shared" si="107"/>
        <v>4.0254948004025494E-2</v>
      </c>
    </row>
    <row r="807" spans="3:16" s="147" customFormat="1">
      <c r="C807" s="536"/>
      <c r="D807" s="536"/>
      <c r="F807" s="136"/>
      <c r="H807" s="309"/>
      <c r="I807" s="309"/>
      <c r="J807" s="309"/>
      <c r="K807" s="136">
        <f t="shared" si="103"/>
        <v>0</v>
      </c>
      <c r="L807" s="136">
        <v>0</v>
      </c>
      <c r="M807" s="136">
        <f t="shared" si="104"/>
        <v>0</v>
      </c>
      <c r="N807" s="157"/>
      <c r="O807" s="136">
        <f t="shared" si="105"/>
        <v>0</v>
      </c>
      <c r="P807" s="157"/>
    </row>
    <row r="808" spans="3:16" s="147" customFormat="1">
      <c r="C808" s="536"/>
      <c r="D808" s="536"/>
      <c r="E808" s="315" t="s">
        <v>101</v>
      </c>
      <c r="F808" s="123"/>
      <c r="H808" s="309"/>
      <c r="I808" s="309"/>
      <c r="J808" s="309"/>
      <c r="K808" s="123">
        <f t="shared" si="103"/>
        <v>0</v>
      </c>
      <c r="L808" s="123">
        <v>0</v>
      </c>
      <c r="M808" s="123">
        <f t="shared" si="104"/>
        <v>0</v>
      </c>
      <c r="N808" s="160"/>
      <c r="O808" s="123">
        <f t="shared" si="105"/>
        <v>0</v>
      </c>
      <c r="P808" s="160"/>
    </row>
    <row r="809" spans="3:16">
      <c r="E809" s="37" t="s">
        <v>125</v>
      </c>
      <c r="F809" s="47">
        <v>13000</v>
      </c>
      <c r="G809" s="135"/>
      <c r="H809" s="136"/>
      <c r="I809" s="136"/>
      <c r="J809" s="136"/>
      <c r="K809" s="47">
        <f t="shared" si="103"/>
        <v>13000</v>
      </c>
      <c r="L809" s="47">
        <v>13000</v>
      </c>
      <c r="M809" s="47">
        <f t="shared" si="104"/>
        <v>0</v>
      </c>
      <c r="N809" s="96">
        <f t="shared" si="106"/>
        <v>0</v>
      </c>
      <c r="O809" s="47">
        <f t="shared" si="105"/>
        <v>0</v>
      </c>
      <c r="P809" s="96">
        <f t="shared" si="107"/>
        <v>0</v>
      </c>
    </row>
    <row r="810" spans="3:16">
      <c r="E810" s="147"/>
      <c r="F810" s="136"/>
      <c r="G810" s="135"/>
      <c r="H810" s="136"/>
      <c r="I810" s="136"/>
      <c r="J810" s="136"/>
      <c r="K810" s="136">
        <f t="shared" si="103"/>
        <v>0</v>
      </c>
      <c r="L810" s="136">
        <v>0</v>
      </c>
      <c r="M810" s="136">
        <f t="shared" si="104"/>
        <v>0</v>
      </c>
      <c r="N810" s="157"/>
      <c r="O810" s="136">
        <f t="shared" si="105"/>
        <v>0</v>
      </c>
      <c r="P810" s="157"/>
    </row>
    <row r="811" spans="3:16">
      <c r="E811" s="315" t="s">
        <v>101</v>
      </c>
      <c r="F811" s="123"/>
      <c r="G811" s="135"/>
      <c r="H811" s="136"/>
      <c r="I811" s="136"/>
      <c r="J811" s="136"/>
      <c r="K811" s="123">
        <f t="shared" si="103"/>
        <v>0</v>
      </c>
      <c r="L811" s="123">
        <v>0</v>
      </c>
      <c r="M811" s="123">
        <f t="shared" si="104"/>
        <v>0</v>
      </c>
      <c r="N811" s="160"/>
      <c r="O811" s="123">
        <f t="shared" si="105"/>
        <v>0</v>
      </c>
      <c r="P811" s="160"/>
    </row>
    <row r="812" spans="3:16">
      <c r="E812" s="37" t="s">
        <v>126</v>
      </c>
      <c r="F812" s="47">
        <f>F813+F814</f>
        <v>145670</v>
      </c>
      <c r="G812" s="135"/>
      <c r="H812" s="136"/>
      <c r="I812" s="136">
        <f>I813+I814</f>
        <v>30000</v>
      </c>
      <c r="J812" s="136"/>
      <c r="K812" s="47">
        <f t="shared" si="103"/>
        <v>175670</v>
      </c>
      <c r="L812" s="47">
        <v>160355</v>
      </c>
      <c r="M812" s="47">
        <f t="shared" si="104"/>
        <v>14685</v>
      </c>
      <c r="N812" s="96">
        <f t="shared" si="106"/>
        <v>0.10081005011326973</v>
      </c>
      <c r="O812" s="47">
        <f t="shared" si="105"/>
        <v>-15315</v>
      </c>
      <c r="P812" s="96">
        <f t="shared" si="107"/>
        <v>-8.7180508908749357E-2</v>
      </c>
    </row>
    <row r="813" spans="3:16">
      <c r="E813" s="397" t="s">
        <v>127</v>
      </c>
      <c r="F813" s="381">
        <v>48150</v>
      </c>
      <c r="G813" s="135"/>
      <c r="H813" s="136"/>
      <c r="I813" s="381">
        <v>-8000</v>
      </c>
      <c r="J813" s="136"/>
      <c r="K813" s="381">
        <f t="shared" si="103"/>
        <v>40150</v>
      </c>
      <c r="L813" s="381">
        <v>43335</v>
      </c>
      <c r="M813" s="381">
        <f t="shared" si="104"/>
        <v>-4815</v>
      </c>
      <c r="N813" s="299">
        <f t="shared" si="106"/>
        <v>-0.1</v>
      </c>
      <c r="O813" s="381">
        <f t="shared" si="105"/>
        <v>3185</v>
      </c>
      <c r="P813" s="299">
        <f t="shared" si="107"/>
        <v>7.9327521793275221E-2</v>
      </c>
    </row>
    <row r="814" spans="3:16">
      <c r="E814" s="398" t="s">
        <v>128</v>
      </c>
      <c r="F814" s="381">
        <v>97520</v>
      </c>
      <c r="G814" s="135"/>
      <c r="H814" s="136"/>
      <c r="I814" s="381">
        <v>38000</v>
      </c>
      <c r="J814" s="136"/>
      <c r="K814" s="381">
        <f t="shared" si="103"/>
        <v>135520</v>
      </c>
      <c r="L814" s="381">
        <v>117020</v>
      </c>
      <c r="M814" s="381">
        <f t="shared" si="104"/>
        <v>19500</v>
      </c>
      <c r="N814" s="299">
        <f t="shared" si="106"/>
        <v>0.19995898277276455</v>
      </c>
      <c r="O814" s="381">
        <f t="shared" si="105"/>
        <v>-18500</v>
      </c>
      <c r="P814" s="299">
        <f t="shared" si="107"/>
        <v>-0.1365112160566706</v>
      </c>
    </row>
    <row r="815" spans="3:16">
      <c r="E815" s="354"/>
      <c r="F815" s="321"/>
      <c r="G815" s="135"/>
      <c r="H815" s="136"/>
      <c r="I815" s="136"/>
      <c r="J815" s="136"/>
      <c r="K815" s="321">
        <f t="shared" si="103"/>
        <v>0</v>
      </c>
      <c r="L815" s="321">
        <v>0</v>
      </c>
      <c r="M815" s="321">
        <f t="shared" si="104"/>
        <v>0</v>
      </c>
      <c r="N815" s="322"/>
      <c r="O815" s="321">
        <f t="shared" si="105"/>
        <v>0</v>
      </c>
      <c r="P815" s="322"/>
    </row>
    <row r="816" spans="3:16">
      <c r="E816" s="315" t="s">
        <v>101</v>
      </c>
      <c r="F816" s="123"/>
      <c r="G816" s="135"/>
      <c r="H816" s="136"/>
      <c r="I816" s="136"/>
      <c r="J816" s="136"/>
      <c r="K816" s="123">
        <f t="shared" si="103"/>
        <v>0</v>
      </c>
      <c r="L816" s="123">
        <v>0</v>
      </c>
      <c r="M816" s="123">
        <f t="shared" si="104"/>
        <v>0</v>
      </c>
      <c r="N816" s="160"/>
      <c r="O816" s="123">
        <f t="shared" si="105"/>
        <v>0</v>
      </c>
      <c r="P816" s="160"/>
    </row>
    <row r="817" spans="1:16">
      <c r="E817" s="37" t="s">
        <v>129</v>
      </c>
      <c r="F817" s="47">
        <v>14170</v>
      </c>
      <c r="G817" s="135"/>
      <c r="H817" s="136"/>
      <c r="I817" s="136"/>
      <c r="J817" s="136"/>
      <c r="K817" s="47">
        <f t="shared" si="103"/>
        <v>14170</v>
      </c>
      <c r="L817" s="47">
        <v>14170</v>
      </c>
      <c r="M817" s="47">
        <f t="shared" si="104"/>
        <v>0</v>
      </c>
      <c r="N817" s="96">
        <f t="shared" si="106"/>
        <v>0</v>
      </c>
      <c r="O817" s="47">
        <f t="shared" si="105"/>
        <v>0</v>
      </c>
      <c r="P817" s="96">
        <f t="shared" si="107"/>
        <v>0</v>
      </c>
    </row>
    <row r="818" spans="1:16">
      <c r="E818" s="396"/>
      <c r="F818" s="281"/>
      <c r="G818" s="135"/>
      <c r="H818" s="136"/>
      <c r="I818" s="136"/>
      <c r="J818" s="136"/>
      <c r="K818" s="281">
        <f t="shared" si="103"/>
        <v>0</v>
      </c>
      <c r="L818" s="281">
        <v>0</v>
      </c>
      <c r="M818" s="281">
        <f t="shared" si="104"/>
        <v>0</v>
      </c>
      <c r="N818" s="282"/>
      <c r="O818" s="281">
        <f t="shared" si="105"/>
        <v>0</v>
      </c>
      <c r="P818" s="282"/>
    </row>
    <row r="819" spans="1:16">
      <c r="E819" s="315" t="s">
        <v>101</v>
      </c>
      <c r="F819" s="123"/>
      <c r="G819" s="135"/>
      <c r="H819" s="136"/>
      <c r="I819" s="136"/>
      <c r="J819" s="136"/>
      <c r="K819" s="123">
        <f t="shared" si="103"/>
        <v>0</v>
      </c>
      <c r="L819" s="123">
        <v>0</v>
      </c>
      <c r="M819" s="123">
        <f t="shared" si="104"/>
        <v>0</v>
      </c>
      <c r="N819" s="160"/>
      <c r="O819" s="123">
        <f t="shared" si="105"/>
        <v>0</v>
      </c>
      <c r="P819" s="160"/>
    </row>
    <row r="820" spans="1:16">
      <c r="E820" s="37" t="s">
        <v>130</v>
      </c>
      <c r="F820" s="47">
        <v>135000</v>
      </c>
      <c r="G820" s="135"/>
      <c r="H820" s="136"/>
      <c r="I820" s="136"/>
      <c r="J820" s="136"/>
      <c r="K820" s="47">
        <f t="shared" si="103"/>
        <v>135000</v>
      </c>
      <c r="L820" s="47">
        <v>135000</v>
      </c>
      <c r="M820" s="47">
        <f t="shared" si="104"/>
        <v>0</v>
      </c>
      <c r="N820" s="96">
        <f t="shared" si="106"/>
        <v>0</v>
      </c>
      <c r="O820" s="47">
        <f t="shared" si="105"/>
        <v>0</v>
      </c>
      <c r="P820" s="96">
        <f t="shared" si="107"/>
        <v>0</v>
      </c>
    </row>
    <row r="821" spans="1:16">
      <c r="E821" s="399"/>
      <c r="F821" s="462"/>
      <c r="G821" s="135"/>
      <c r="H821" s="136"/>
      <c r="I821" s="136"/>
      <c r="J821" s="136"/>
      <c r="K821" s="462">
        <f t="shared" si="103"/>
        <v>0</v>
      </c>
      <c r="L821" s="462">
        <v>0</v>
      </c>
      <c r="M821" s="462">
        <f t="shared" si="104"/>
        <v>0</v>
      </c>
      <c r="N821" s="342"/>
      <c r="O821" s="462">
        <f t="shared" si="105"/>
        <v>0</v>
      </c>
      <c r="P821" s="342"/>
    </row>
    <row r="822" spans="1:16">
      <c r="E822" s="315" t="s">
        <v>101</v>
      </c>
      <c r="F822" s="123"/>
      <c r="G822" s="135"/>
      <c r="H822" s="136"/>
      <c r="I822" s="136"/>
      <c r="J822" s="136"/>
      <c r="K822" s="123">
        <f t="shared" si="103"/>
        <v>0</v>
      </c>
      <c r="L822" s="123">
        <v>0</v>
      </c>
      <c r="M822" s="123">
        <f t="shared" si="104"/>
        <v>0</v>
      </c>
      <c r="N822" s="160"/>
      <c r="O822" s="123">
        <f t="shared" si="105"/>
        <v>0</v>
      </c>
      <c r="P822" s="160"/>
    </row>
    <row r="823" spans="1:16">
      <c r="E823" s="37" t="s">
        <v>490</v>
      </c>
      <c r="F823" s="47">
        <v>3551853</v>
      </c>
      <c r="G823" s="135"/>
      <c r="H823" s="136"/>
      <c r="I823" s="136">
        <v>89300</v>
      </c>
      <c r="J823" s="136">
        <v>182549</v>
      </c>
      <c r="K823" s="47">
        <f t="shared" si="103"/>
        <v>3823702</v>
      </c>
      <c r="L823" s="47">
        <v>4287950</v>
      </c>
      <c r="M823" s="47">
        <f t="shared" si="104"/>
        <v>736097</v>
      </c>
      <c r="N823" s="96">
        <f t="shared" si="106"/>
        <v>0.20724309254915674</v>
      </c>
      <c r="O823" s="47">
        <f t="shared" si="105"/>
        <v>464248</v>
      </c>
      <c r="P823" s="96">
        <f t="shared" si="107"/>
        <v>0.12141322728601758</v>
      </c>
    </row>
    <row r="824" spans="1:16">
      <c r="E824" s="323" t="s">
        <v>47</v>
      </c>
      <c r="F824" s="124">
        <v>1882442</v>
      </c>
      <c r="G824" s="135"/>
      <c r="H824" s="136"/>
      <c r="I824" s="136"/>
      <c r="J824" s="272">
        <v>136435</v>
      </c>
      <c r="K824" s="124">
        <f t="shared" si="103"/>
        <v>2018877</v>
      </c>
      <c r="L824" s="124">
        <v>2273178</v>
      </c>
      <c r="M824" s="124">
        <f t="shared" si="104"/>
        <v>390736</v>
      </c>
      <c r="N824" s="270">
        <f t="shared" si="106"/>
        <v>0.20756867940685556</v>
      </c>
      <c r="O824" s="124">
        <f t="shared" si="105"/>
        <v>254301</v>
      </c>
      <c r="P824" s="270">
        <f t="shared" si="107"/>
        <v>0.12596161133144812</v>
      </c>
    </row>
    <row r="825" spans="1:16">
      <c r="E825" s="400"/>
      <c r="F825" s="401"/>
      <c r="G825" s="135"/>
      <c r="H825" s="136"/>
      <c r="I825" s="136"/>
      <c r="J825" s="136"/>
      <c r="K825" s="401">
        <f t="shared" si="103"/>
        <v>0</v>
      </c>
      <c r="L825" s="401">
        <v>0</v>
      </c>
      <c r="M825" s="401">
        <f t="shared" si="104"/>
        <v>0</v>
      </c>
      <c r="N825" s="322"/>
      <c r="O825" s="401">
        <f t="shared" si="105"/>
        <v>0</v>
      </c>
      <c r="P825" s="322"/>
    </row>
    <row r="826" spans="1:16">
      <c r="E826" s="402" t="s">
        <v>902</v>
      </c>
      <c r="F826" s="127"/>
      <c r="G826" s="135"/>
      <c r="H826" s="136"/>
      <c r="I826" s="136"/>
      <c r="J826" s="136"/>
      <c r="K826" s="127">
        <f t="shared" si="103"/>
        <v>0</v>
      </c>
      <c r="L826" s="127">
        <v>0</v>
      </c>
      <c r="M826" s="127">
        <f t="shared" si="104"/>
        <v>0</v>
      </c>
      <c r="N826" s="160"/>
      <c r="O826" s="127">
        <f t="shared" si="105"/>
        <v>0</v>
      </c>
      <c r="P826" s="160"/>
    </row>
    <row r="827" spans="1:16">
      <c r="C827" s="537" t="s">
        <v>1029</v>
      </c>
      <c r="D827" s="537" t="s">
        <v>1010</v>
      </c>
      <c r="E827" s="102" t="s">
        <v>903</v>
      </c>
      <c r="F827" s="291">
        <v>34490</v>
      </c>
      <c r="G827" s="135"/>
      <c r="H827" s="136">
        <v>36755</v>
      </c>
      <c r="I827" s="136">
        <v>-40000</v>
      </c>
      <c r="J827" s="136"/>
      <c r="K827" s="291">
        <f t="shared" si="103"/>
        <v>31245</v>
      </c>
      <c r="L827" s="291">
        <v>71245</v>
      </c>
      <c r="M827" s="291">
        <f t="shared" si="104"/>
        <v>36755</v>
      </c>
      <c r="N827" s="282">
        <f t="shared" si="106"/>
        <v>1.0656712090461002</v>
      </c>
      <c r="O827" s="291">
        <f t="shared" si="105"/>
        <v>40000</v>
      </c>
      <c r="P827" s="282">
        <f t="shared" si="107"/>
        <v>1.2802048327732438</v>
      </c>
    </row>
    <row r="828" spans="1:16">
      <c r="E828" s="399"/>
      <c r="F828" s="462"/>
      <c r="G828" s="135"/>
      <c r="H828" s="136"/>
      <c r="I828" s="136"/>
      <c r="J828" s="136"/>
      <c r="K828" s="462">
        <f t="shared" si="103"/>
        <v>0</v>
      </c>
      <c r="L828" s="462">
        <v>0</v>
      </c>
      <c r="M828" s="462">
        <f t="shared" si="104"/>
        <v>0</v>
      </c>
      <c r="N828" s="342"/>
      <c r="O828" s="462">
        <f t="shared" si="105"/>
        <v>0</v>
      </c>
      <c r="P828" s="342"/>
    </row>
    <row r="829" spans="1:16">
      <c r="E829" s="146" t="s">
        <v>102</v>
      </c>
      <c r="F829" s="123">
        <f>F831+F925</f>
        <v>44407649</v>
      </c>
      <c r="G829" s="123">
        <f>G831+G925</f>
        <v>0</v>
      </c>
      <c r="H829" s="123">
        <f>H831+H925</f>
        <v>8055394</v>
      </c>
      <c r="I829" s="123">
        <f>I831+I925</f>
        <v>4444480</v>
      </c>
      <c r="J829" s="123">
        <f>J831+J925</f>
        <v>2181</v>
      </c>
      <c r="K829" s="123">
        <f t="shared" si="103"/>
        <v>56909704</v>
      </c>
      <c r="L829" s="123">
        <f>L831+L925</f>
        <v>50789505</v>
      </c>
      <c r="M829" s="123">
        <f t="shared" si="104"/>
        <v>6381856</v>
      </c>
      <c r="N829" s="160">
        <f t="shared" si="106"/>
        <v>0.14371073776051507</v>
      </c>
      <c r="O829" s="123">
        <f t="shared" si="105"/>
        <v>-6120199</v>
      </c>
      <c r="P829" s="160">
        <f t="shared" si="107"/>
        <v>-0.10754227433690394</v>
      </c>
    </row>
    <row r="830" spans="1:16">
      <c r="E830" s="296"/>
      <c r="F830" s="277"/>
      <c r="G830" s="135"/>
      <c r="H830" s="136"/>
      <c r="I830" s="136"/>
      <c r="J830" s="136"/>
      <c r="K830" s="277">
        <f t="shared" si="103"/>
        <v>0</v>
      </c>
      <c r="L830" s="277"/>
      <c r="M830" s="277">
        <f t="shared" si="104"/>
        <v>0</v>
      </c>
      <c r="N830" s="278"/>
      <c r="O830" s="277">
        <f t="shared" si="105"/>
        <v>0</v>
      </c>
      <c r="P830" s="278"/>
    </row>
    <row r="831" spans="1:16">
      <c r="A831" s="135" t="s">
        <v>675</v>
      </c>
      <c r="B831" s="136" t="s">
        <v>107</v>
      </c>
      <c r="C831" s="381"/>
      <c r="D831" s="381"/>
      <c r="E831" s="403" t="s">
        <v>904</v>
      </c>
      <c r="F831" s="404">
        <f>F833+F839+F843+F845+F847+F850+F869+F880+F887+F889+F912+F916+F921+F900+F906</f>
        <v>26376216</v>
      </c>
      <c r="G831" s="404">
        <f>G833+G839+G843+G845+G847+G850+G869+G880+G887+G889+G912+G916+G921+G900+G906</f>
        <v>0</v>
      </c>
      <c r="H831" s="404">
        <f>H833+H839+H843+H845+H847+H850+H869+H880+H887+H889+H912+H916+H921+H900+H906+H836+H891+H894+H896+H898</f>
        <v>6912786</v>
      </c>
      <c r="I831" s="404">
        <f>I833+I839+I843+I845+I847+I850+I869+I880+I887+I889+I912+I916+I921+I900+I906+I836+I891+I894+I896+I898+I841+I908+I910+I883+I885</f>
        <v>3176666</v>
      </c>
      <c r="J831" s="404">
        <f>J833+J839+J843+J845+J847+J850+J869+J880+J887+J889+J912+J916+J921+J900+J906</f>
        <v>-7768</v>
      </c>
      <c r="K831" s="404">
        <f t="shared" si="103"/>
        <v>36457900</v>
      </c>
      <c r="L831" s="404">
        <f>L833+L836+L839+L843+L845+L847+L850+L869+L880+L887+L889+L891+L894+L896+L898+L900+L906+L912+L916+L921+L902+L904</f>
        <v>32151032</v>
      </c>
      <c r="M831" s="404">
        <f t="shared" si="104"/>
        <v>5774816</v>
      </c>
      <c r="N831" s="405">
        <f t="shared" si="106"/>
        <v>0.21894027558767337</v>
      </c>
      <c r="O831" s="404">
        <f t="shared" si="105"/>
        <v>-4306868</v>
      </c>
      <c r="P831" s="405">
        <f t="shared" si="107"/>
        <v>-0.1181326406622433</v>
      </c>
    </row>
    <row r="832" spans="1:16">
      <c r="E832" s="296"/>
      <c r="F832" s="277"/>
      <c r="G832" s="135"/>
      <c r="H832" s="136"/>
      <c r="I832" s="136"/>
      <c r="J832" s="136"/>
      <c r="K832" s="277">
        <f t="shared" si="103"/>
        <v>0</v>
      </c>
      <c r="L832" s="277">
        <v>0</v>
      </c>
      <c r="M832" s="277">
        <f t="shared" si="104"/>
        <v>0</v>
      </c>
      <c r="N832" s="278"/>
      <c r="O832" s="277">
        <f t="shared" si="105"/>
        <v>0</v>
      </c>
      <c r="P832" s="278"/>
    </row>
    <row r="833" spans="1:16">
      <c r="C833" s="537" t="s">
        <v>1029</v>
      </c>
      <c r="D833" s="537" t="s">
        <v>982</v>
      </c>
      <c r="E833" s="267" t="s">
        <v>132</v>
      </c>
      <c r="F833" s="268">
        <v>1522382</v>
      </c>
      <c r="G833" s="135"/>
      <c r="H833" s="136">
        <v>300323</v>
      </c>
      <c r="I833" s="136">
        <v>-39830</v>
      </c>
      <c r="J833" s="136">
        <v>130969</v>
      </c>
      <c r="K833" s="268">
        <f t="shared" si="103"/>
        <v>1913844</v>
      </c>
      <c r="L833" s="268">
        <v>2291614</v>
      </c>
      <c r="M833" s="268">
        <f t="shared" si="104"/>
        <v>769232</v>
      </c>
      <c r="N833" s="157">
        <f t="shared" si="106"/>
        <v>0.50528185435718498</v>
      </c>
      <c r="O833" s="268">
        <f t="shared" si="105"/>
        <v>377770</v>
      </c>
      <c r="P833" s="157">
        <f t="shared" si="107"/>
        <v>0.19738808387726481</v>
      </c>
    </row>
    <row r="834" spans="1:16">
      <c r="E834" s="130" t="s">
        <v>47</v>
      </c>
      <c r="F834" s="124">
        <v>973246</v>
      </c>
      <c r="G834" s="135"/>
      <c r="H834" s="272">
        <v>149718</v>
      </c>
      <c r="I834" s="272">
        <v>-29769</v>
      </c>
      <c r="J834" s="272">
        <v>97884</v>
      </c>
      <c r="K834" s="124">
        <f t="shared" si="103"/>
        <v>1191079</v>
      </c>
      <c r="L834" s="124">
        <f>1430520+82933-3832</f>
        <v>1509621</v>
      </c>
      <c r="M834" s="124">
        <f t="shared" si="104"/>
        <v>536375</v>
      </c>
      <c r="N834" s="270">
        <f t="shared" si="106"/>
        <v>0.55111965525673878</v>
      </c>
      <c r="O834" s="124">
        <f t="shared" si="105"/>
        <v>318542</v>
      </c>
      <c r="P834" s="270">
        <f t="shared" si="107"/>
        <v>0.26743985915291935</v>
      </c>
    </row>
    <row r="835" spans="1:16">
      <c r="E835" s="130"/>
      <c r="F835" s="124"/>
      <c r="G835" s="135"/>
      <c r="H835" s="272"/>
      <c r="I835" s="272"/>
      <c r="J835" s="272"/>
      <c r="K835" s="124">
        <f t="shared" si="103"/>
        <v>0</v>
      </c>
      <c r="L835" s="124">
        <v>0</v>
      </c>
      <c r="M835" s="124">
        <f t="shared" si="104"/>
        <v>0</v>
      </c>
      <c r="N835" s="270"/>
      <c r="O835" s="124">
        <f t="shared" si="105"/>
        <v>0</v>
      </c>
      <c r="P835" s="270"/>
    </row>
    <row r="836" spans="1:16">
      <c r="E836" s="103" t="s">
        <v>1236</v>
      </c>
      <c r="F836" s="124"/>
      <c r="G836" s="135"/>
      <c r="H836" s="136">
        <v>5671100</v>
      </c>
      <c r="I836" s="136">
        <v>-667937</v>
      </c>
      <c r="J836" s="272"/>
      <c r="K836" s="268">
        <f t="shared" si="103"/>
        <v>5003163</v>
      </c>
      <c r="L836" s="15">
        <v>492845</v>
      </c>
      <c r="M836" s="15">
        <f t="shared" si="104"/>
        <v>492845</v>
      </c>
      <c r="N836" s="308"/>
      <c r="O836" s="15">
        <f t="shared" si="105"/>
        <v>-4510318</v>
      </c>
      <c r="P836" s="308">
        <f t="shared" si="107"/>
        <v>-0.90149331532872301</v>
      </c>
    </row>
    <row r="837" spans="1:16">
      <c r="E837" s="130" t="s">
        <v>47</v>
      </c>
      <c r="F837" s="124"/>
      <c r="G837" s="135"/>
      <c r="H837" s="272">
        <v>253940</v>
      </c>
      <c r="I837" s="272">
        <v>-4848</v>
      </c>
      <c r="J837" s="272"/>
      <c r="K837" s="124">
        <f t="shared" si="103"/>
        <v>249092</v>
      </c>
      <c r="L837" s="269">
        <v>360848</v>
      </c>
      <c r="M837" s="269">
        <f t="shared" si="104"/>
        <v>360848</v>
      </c>
      <c r="N837" s="411"/>
      <c r="O837" s="269">
        <f t="shared" si="105"/>
        <v>111756</v>
      </c>
      <c r="P837" s="411">
        <f t="shared" si="107"/>
        <v>0.44865350954667355</v>
      </c>
    </row>
    <row r="838" spans="1:16">
      <c r="E838" s="130"/>
      <c r="F838" s="124"/>
      <c r="G838" s="135"/>
      <c r="H838" s="136"/>
      <c r="I838" s="136"/>
      <c r="J838" s="136"/>
      <c r="K838" s="124">
        <f t="shared" si="103"/>
        <v>0</v>
      </c>
      <c r="L838" s="124">
        <v>0</v>
      </c>
      <c r="M838" s="124">
        <f t="shared" si="104"/>
        <v>0</v>
      </c>
      <c r="N838" s="270"/>
      <c r="O838" s="124">
        <f t="shared" si="105"/>
        <v>0</v>
      </c>
      <c r="P838" s="270"/>
    </row>
    <row r="839" spans="1:16">
      <c r="C839" s="537" t="s">
        <v>1029</v>
      </c>
      <c r="D839" s="537" t="s">
        <v>982</v>
      </c>
      <c r="E839" s="103" t="s">
        <v>905</v>
      </c>
      <c r="F839" s="268">
        <v>23184</v>
      </c>
      <c r="G839" s="135"/>
      <c r="H839" s="136"/>
      <c r="I839" s="136">
        <v>-10000</v>
      </c>
      <c r="J839" s="136"/>
      <c r="K839" s="268">
        <f t="shared" si="103"/>
        <v>13184</v>
      </c>
      <c r="L839" s="268">
        <v>26366</v>
      </c>
      <c r="M839" s="268">
        <f t="shared" si="104"/>
        <v>3182</v>
      </c>
      <c r="N839" s="157">
        <f t="shared" si="106"/>
        <v>0.13724982746721878</v>
      </c>
      <c r="O839" s="268">
        <f t="shared" si="105"/>
        <v>13182</v>
      </c>
      <c r="P839" s="157">
        <f t="shared" si="107"/>
        <v>0.99984830097087374</v>
      </c>
    </row>
    <row r="840" spans="1:16">
      <c r="E840" s="64"/>
      <c r="F840" s="49"/>
      <c r="G840" s="135"/>
      <c r="H840" s="136"/>
      <c r="I840" s="136"/>
      <c r="J840" s="136"/>
      <c r="K840" s="268">
        <f t="shared" ref="K840:K903" si="110">F840+G840+H840+J840+I840</f>
        <v>0</v>
      </c>
      <c r="L840" s="49">
        <v>0</v>
      </c>
      <c r="M840" s="49">
        <f t="shared" ref="M840:M903" si="111">L840-F840</f>
        <v>0</v>
      </c>
      <c r="N840" s="98"/>
      <c r="O840" s="49">
        <f t="shared" ref="O840:O903" si="112">L840-K840</f>
        <v>0</v>
      </c>
      <c r="P840" s="98"/>
    </row>
    <row r="841" spans="1:16">
      <c r="A841" s="615"/>
      <c r="E841" s="103" t="s">
        <v>1160</v>
      </c>
      <c r="F841" s="49"/>
      <c r="G841" s="135"/>
      <c r="H841" s="136"/>
      <c r="I841" s="136">
        <v>3112500</v>
      </c>
      <c r="J841" s="136"/>
      <c r="K841" s="268">
        <f t="shared" si="110"/>
        <v>3112500</v>
      </c>
      <c r="L841" s="49">
        <v>0</v>
      </c>
      <c r="M841" s="49">
        <f t="shared" si="111"/>
        <v>0</v>
      </c>
      <c r="N841" s="98"/>
      <c r="O841" s="49">
        <f t="shared" si="112"/>
        <v>-3112500</v>
      </c>
      <c r="P841" s="98">
        <f t="shared" ref="P841:P900" si="113">O841/K841</f>
        <v>-1</v>
      </c>
    </row>
    <row r="842" spans="1:16">
      <c r="E842" s="64"/>
      <c r="F842" s="49"/>
      <c r="G842" s="135"/>
      <c r="H842" s="136"/>
      <c r="I842" s="136"/>
      <c r="J842" s="136"/>
      <c r="K842" s="49">
        <f t="shared" si="110"/>
        <v>0</v>
      </c>
      <c r="L842" s="49">
        <v>0</v>
      </c>
      <c r="M842" s="49">
        <f t="shared" si="111"/>
        <v>0</v>
      </c>
      <c r="N842" s="98"/>
      <c r="O842" s="49">
        <f t="shared" si="112"/>
        <v>0</v>
      </c>
      <c r="P842" s="98"/>
    </row>
    <row r="843" spans="1:16">
      <c r="C843" s="537" t="s">
        <v>1029</v>
      </c>
      <c r="D843" s="537" t="s">
        <v>967</v>
      </c>
      <c r="E843" s="267" t="s">
        <v>133</v>
      </c>
      <c r="F843" s="268">
        <v>2303750</v>
      </c>
      <c r="G843" s="135"/>
      <c r="H843" s="136"/>
      <c r="I843" s="136"/>
      <c r="J843" s="136"/>
      <c r="K843" s="268">
        <f t="shared" si="110"/>
        <v>2303750</v>
      </c>
      <c r="L843" s="268">
        <v>2303750</v>
      </c>
      <c r="M843" s="268">
        <f t="shared" si="111"/>
        <v>0</v>
      </c>
      <c r="N843" s="157">
        <f t="shared" ref="N843:N900" si="114">M843/F843</f>
        <v>0</v>
      </c>
      <c r="O843" s="268">
        <f t="shared" si="112"/>
        <v>0</v>
      </c>
      <c r="P843" s="157">
        <f t="shared" si="113"/>
        <v>0</v>
      </c>
    </row>
    <row r="844" spans="1:16">
      <c r="E844" s="267"/>
      <c r="F844" s="268"/>
      <c r="G844" s="135"/>
      <c r="H844" s="136"/>
      <c r="I844" s="136"/>
      <c r="J844" s="136"/>
      <c r="K844" s="268">
        <f t="shared" si="110"/>
        <v>0</v>
      </c>
      <c r="L844" s="268">
        <v>0</v>
      </c>
      <c r="M844" s="268">
        <f t="shared" si="111"/>
        <v>0</v>
      </c>
      <c r="N844" s="157"/>
      <c r="O844" s="268">
        <f t="shared" si="112"/>
        <v>0</v>
      </c>
      <c r="P844" s="157"/>
    </row>
    <row r="845" spans="1:16">
      <c r="C845" s="537" t="s">
        <v>1029</v>
      </c>
      <c r="D845" s="537" t="s">
        <v>967</v>
      </c>
      <c r="E845" s="267" t="s">
        <v>381</v>
      </c>
      <c r="F845" s="268">
        <v>1655888</v>
      </c>
      <c r="G845" s="135"/>
      <c r="H845" s="136"/>
      <c r="I845" s="136"/>
      <c r="J845" s="136"/>
      <c r="K845" s="268">
        <f t="shared" si="110"/>
        <v>1655888</v>
      </c>
      <c r="L845" s="268">
        <v>1942380</v>
      </c>
      <c r="M845" s="268">
        <f t="shared" si="111"/>
        <v>286492</v>
      </c>
      <c r="N845" s="157">
        <f t="shared" si="114"/>
        <v>0.17301411689679494</v>
      </c>
      <c r="O845" s="268">
        <f t="shared" si="112"/>
        <v>286492</v>
      </c>
      <c r="P845" s="157">
        <f t="shared" si="113"/>
        <v>0.17301411689679494</v>
      </c>
    </row>
    <row r="846" spans="1:16">
      <c r="E846" s="267"/>
      <c r="F846" s="268"/>
      <c r="G846" s="135"/>
      <c r="H846" s="136"/>
      <c r="I846" s="136"/>
      <c r="J846" s="136"/>
      <c r="K846" s="268">
        <f t="shared" si="110"/>
        <v>0</v>
      </c>
      <c r="L846" s="268">
        <v>0</v>
      </c>
      <c r="M846" s="268">
        <f t="shared" si="111"/>
        <v>0</v>
      </c>
      <c r="N846" s="157"/>
      <c r="O846" s="268">
        <f t="shared" si="112"/>
        <v>0</v>
      </c>
      <c r="P846" s="157"/>
    </row>
    <row r="847" spans="1:16">
      <c r="C847" s="537" t="s">
        <v>1029</v>
      </c>
      <c r="D847" s="537" t="s">
        <v>982</v>
      </c>
      <c r="E847" s="267" t="s">
        <v>396</v>
      </c>
      <c r="F847" s="268">
        <v>66390</v>
      </c>
      <c r="G847" s="135"/>
      <c r="H847" s="136"/>
      <c r="I847" s="136"/>
      <c r="J847" s="136"/>
      <c r="K847" s="268">
        <f t="shared" si="110"/>
        <v>66390</v>
      </c>
      <c r="L847" s="268">
        <v>66390</v>
      </c>
      <c r="M847" s="268">
        <f t="shared" si="111"/>
        <v>0</v>
      </c>
      <c r="N847" s="157">
        <f t="shared" si="114"/>
        <v>0</v>
      </c>
      <c r="O847" s="268">
        <f t="shared" si="112"/>
        <v>0</v>
      </c>
      <c r="P847" s="157">
        <f t="shared" si="113"/>
        <v>0</v>
      </c>
    </row>
    <row r="848" spans="1:16">
      <c r="E848" s="130" t="s">
        <v>47</v>
      </c>
      <c r="F848" s="124">
        <v>25000</v>
      </c>
      <c r="G848" s="135"/>
      <c r="H848" s="136"/>
      <c r="I848" s="136"/>
      <c r="J848" s="136"/>
      <c r="K848" s="124">
        <f t="shared" si="110"/>
        <v>25000</v>
      </c>
      <c r="L848" s="124">
        <v>15000</v>
      </c>
      <c r="M848" s="124">
        <f t="shared" si="111"/>
        <v>-10000</v>
      </c>
      <c r="N848" s="270">
        <f t="shared" si="114"/>
        <v>-0.4</v>
      </c>
      <c r="O848" s="124">
        <f t="shared" si="112"/>
        <v>-10000</v>
      </c>
      <c r="P848" s="270">
        <f t="shared" si="113"/>
        <v>-0.4</v>
      </c>
    </row>
    <row r="849" spans="3:16">
      <c r="E849" s="130"/>
      <c r="F849" s="124"/>
      <c r="G849" s="135"/>
      <c r="H849" s="136"/>
      <c r="I849" s="136"/>
      <c r="J849" s="136"/>
      <c r="K849" s="124">
        <f t="shared" si="110"/>
        <v>0</v>
      </c>
      <c r="L849" s="124">
        <v>0</v>
      </c>
      <c r="M849" s="124">
        <f t="shared" si="111"/>
        <v>0</v>
      </c>
      <c r="N849" s="270"/>
      <c r="O849" s="124">
        <f t="shared" si="112"/>
        <v>0</v>
      </c>
      <c r="P849" s="270"/>
    </row>
    <row r="850" spans="3:16">
      <c r="E850" s="267" t="s">
        <v>491</v>
      </c>
      <c r="F850" s="268">
        <f>F852+F858+F864</f>
        <v>19930620</v>
      </c>
      <c r="G850" s="135"/>
      <c r="H850" s="268">
        <f t="shared" ref="H850:I850" si="115">H852+H858+H864</f>
        <v>836000</v>
      </c>
      <c r="I850" s="268">
        <f t="shared" si="115"/>
        <v>718649</v>
      </c>
      <c r="J850" s="136"/>
      <c r="K850" s="268">
        <f t="shared" si="110"/>
        <v>21485269</v>
      </c>
      <c r="L850" s="268">
        <f>L852+L858+L864</f>
        <v>24184462</v>
      </c>
      <c r="M850" s="268">
        <f t="shared" si="111"/>
        <v>4253842</v>
      </c>
      <c r="N850" s="157">
        <f t="shared" si="114"/>
        <v>0.21343249733324904</v>
      </c>
      <c r="O850" s="268">
        <f t="shared" si="112"/>
        <v>2699193</v>
      </c>
      <c r="P850" s="157">
        <f t="shared" si="113"/>
        <v>0.12562993742363662</v>
      </c>
    </row>
    <row r="851" spans="3:16">
      <c r="E851" s="267"/>
      <c r="F851" s="268"/>
      <c r="G851" s="135"/>
      <c r="H851" s="136"/>
      <c r="I851" s="136"/>
      <c r="J851" s="136"/>
      <c r="K851" s="268">
        <f t="shared" si="110"/>
        <v>0</v>
      </c>
      <c r="L851" s="268"/>
      <c r="M851" s="268">
        <f t="shared" si="111"/>
        <v>0</v>
      </c>
      <c r="N851" s="157"/>
      <c r="O851" s="268">
        <f t="shared" si="112"/>
        <v>0</v>
      </c>
      <c r="P851" s="157"/>
    </row>
    <row r="852" spans="3:16">
      <c r="C852" s="537" t="s">
        <v>1029</v>
      </c>
      <c r="D852" s="537" t="s">
        <v>952</v>
      </c>
      <c r="E852" s="300" t="s">
        <v>134</v>
      </c>
      <c r="F852" s="268">
        <f>F853+F854+F855+F856</f>
        <v>5963340</v>
      </c>
      <c r="G852" s="135"/>
      <c r="H852" s="268">
        <f t="shared" ref="H852:I852" si="116">H853+H854+H855+H856</f>
        <v>800000</v>
      </c>
      <c r="I852" s="268">
        <f t="shared" si="116"/>
        <v>473899</v>
      </c>
      <c r="J852" s="136"/>
      <c r="K852" s="268">
        <f t="shared" si="110"/>
        <v>7237239</v>
      </c>
      <c r="L852" s="268">
        <f>L853+L854+L855+L856</f>
        <v>7878962</v>
      </c>
      <c r="M852" s="268">
        <f t="shared" si="111"/>
        <v>1915622</v>
      </c>
      <c r="N852" s="157">
        <f t="shared" si="114"/>
        <v>0.32123306737499457</v>
      </c>
      <c r="O852" s="268">
        <f t="shared" si="112"/>
        <v>641723</v>
      </c>
      <c r="P852" s="157">
        <f t="shared" si="113"/>
        <v>8.8669587946453063E-2</v>
      </c>
    </row>
    <row r="853" spans="3:16" ht="20.399999999999999">
      <c r="E853" s="183" t="s">
        <v>1237</v>
      </c>
      <c r="F853" s="298">
        <v>482750</v>
      </c>
      <c r="G853" s="135"/>
      <c r="H853" s="136"/>
      <c r="I853" s="136"/>
      <c r="J853" s="136"/>
      <c r="K853" s="298">
        <f t="shared" si="110"/>
        <v>482750</v>
      </c>
      <c r="L853" s="298">
        <v>732750</v>
      </c>
      <c r="M853" s="298">
        <f t="shared" si="111"/>
        <v>250000</v>
      </c>
      <c r="N853" s="299">
        <f t="shared" si="114"/>
        <v>0.51786639047125838</v>
      </c>
      <c r="O853" s="298">
        <f t="shared" si="112"/>
        <v>250000</v>
      </c>
      <c r="P853" s="299">
        <f t="shared" si="113"/>
        <v>0.51786639047125838</v>
      </c>
    </row>
    <row r="854" spans="3:16">
      <c r="E854" s="183" t="s">
        <v>906</v>
      </c>
      <c r="F854" s="304">
        <f>3504600-98000</f>
        <v>3406600</v>
      </c>
      <c r="G854" s="135"/>
      <c r="H854" s="136"/>
      <c r="I854" s="136"/>
      <c r="J854" s="136"/>
      <c r="K854" s="304">
        <f t="shared" si="110"/>
        <v>3406600</v>
      </c>
      <c r="L854" s="304">
        <v>4586950</v>
      </c>
      <c r="M854" s="304">
        <f t="shared" si="111"/>
        <v>1180350</v>
      </c>
      <c r="N854" s="305">
        <f t="shared" si="114"/>
        <v>0.34648916808548114</v>
      </c>
      <c r="O854" s="304">
        <f t="shared" si="112"/>
        <v>1180350</v>
      </c>
      <c r="P854" s="305">
        <f t="shared" si="113"/>
        <v>0.34648916808548114</v>
      </c>
    </row>
    <row r="855" spans="3:16">
      <c r="E855" s="406" t="s">
        <v>135</v>
      </c>
      <c r="F855" s="381">
        <v>1773990</v>
      </c>
      <c r="G855" s="135"/>
      <c r="H855" s="136"/>
      <c r="I855" s="381">
        <v>683899</v>
      </c>
      <c r="J855" s="136"/>
      <c r="K855" s="381">
        <f t="shared" si="110"/>
        <v>2457889</v>
      </c>
      <c r="L855" s="381">
        <v>2559262</v>
      </c>
      <c r="M855" s="381">
        <f t="shared" si="111"/>
        <v>785272</v>
      </c>
      <c r="N855" s="299">
        <f t="shared" si="114"/>
        <v>0.44265863956392087</v>
      </c>
      <c r="O855" s="381">
        <f t="shared" si="112"/>
        <v>101373</v>
      </c>
      <c r="P855" s="299">
        <f t="shared" si="113"/>
        <v>4.1243929241719213E-2</v>
      </c>
    </row>
    <row r="856" spans="3:16">
      <c r="E856" s="406" t="s">
        <v>733</v>
      </c>
      <c r="F856" s="381">
        <v>300000</v>
      </c>
      <c r="G856" s="135"/>
      <c r="H856" s="381">
        <v>800000</v>
      </c>
      <c r="I856" s="381">
        <v>-210000</v>
      </c>
      <c r="J856" s="136"/>
      <c r="K856" s="381">
        <f t="shared" si="110"/>
        <v>890000</v>
      </c>
      <c r="L856" s="381">
        <v>0</v>
      </c>
      <c r="M856" s="381">
        <f t="shared" si="111"/>
        <v>-300000</v>
      </c>
      <c r="N856" s="299">
        <f t="shared" si="114"/>
        <v>-1</v>
      </c>
      <c r="O856" s="381">
        <f t="shared" si="112"/>
        <v>-890000</v>
      </c>
      <c r="P856" s="299">
        <f t="shared" si="113"/>
        <v>-1</v>
      </c>
    </row>
    <row r="857" spans="3:16">
      <c r="E857" s="407"/>
      <c r="F857" s="138"/>
      <c r="G857" s="135"/>
      <c r="H857" s="136"/>
      <c r="I857" s="136"/>
      <c r="J857" s="136"/>
      <c r="K857" s="138">
        <f t="shared" si="110"/>
        <v>0</v>
      </c>
      <c r="L857" s="138">
        <v>0</v>
      </c>
      <c r="M857" s="138">
        <f t="shared" si="111"/>
        <v>0</v>
      </c>
      <c r="N857" s="91"/>
      <c r="O857" s="138">
        <f t="shared" si="112"/>
        <v>0</v>
      </c>
      <c r="P857" s="91"/>
    </row>
    <row r="858" spans="3:16">
      <c r="C858" s="537" t="s">
        <v>1029</v>
      </c>
      <c r="D858" s="537" t="s">
        <v>996</v>
      </c>
      <c r="E858" s="300" t="s">
        <v>136</v>
      </c>
      <c r="F858" s="268">
        <f>F859</f>
        <v>13736100</v>
      </c>
      <c r="G858" s="135"/>
      <c r="H858" s="136"/>
      <c r="I858" s="136">
        <f>I862</f>
        <v>200000</v>
      </c>
      <c r="J858" s="136"/>
      <c r="K858" s="268">
        <f t="shared" si="110"/>
        <v>13936100</v>
      </c>
      <c r="L858" s="268">
        <f>L859</f>
        <v>16024070</v>
      </c>
      <c r="M858" s="268">
        <f t="shared" si="111"/>
        <v>2287970</v>
      </c>
      <c r="N858" s="157">
        <f t="shared" si="114"/>
        <v>0.16656620146912152</v>
      </c>
      <c r="O858" s="268">
        <f t="shared" si="112"/>
        <v>2087970</v>
      </c>
      <c r="P858" s="157">
        <f t="shared" si="113"/>
        <v>0.14982455636799391</v>
      </c>
    </row>
    <row r="859" spans="3:16">
      <c r="E859" s="297" t="s">
        <v>351</v>
      </c>
      <c r="F859" s="298">
        <f>F860+F861</f>
        <v>13736100</v>
      </c>
      <c r="G859" s="135"/>
      <c r="H859" s="136"/>
      <c r="I859" s="136"/>
      <c r="J859" s="136"/>
      <c r="K859" s="298">
        <f t="shared" si="110"/>
        <v>13736100</v>
      </c>
      <c r="L859" s="298">
        <f>L860+L861</f>
        <v>16024070</v>
      </c>
      <c r="M859" s="298">
        <f t="shared" si="111"/>
        <v>2287970</v>
      </c>
      <c r="N859" s="299">
        <f t="shared" si="114"/>
        <v>0.16656620146912152</v>
      </c>
      <c r="O859" s="298">
        <f t="shared" si="112"/>
        <v>2287970</v>
      </c>
      <c r="P859" s="299">
        <f t="shared" si="113"/>
        <v>0.16656620146912152</v>
      </c>
    </row>
    <row r="860" spans="3:16">
      <c r="E860" s="374" t="s">
        <v>492</v>
      </c>
      <c r="F860" s="277">
        <v>13728450</v>
      </c>
      <c r="G860" s="135"/>
      <c r="H860" s="136"/>
      <c r="I860" s="136"/>
      <c r="J860" s="136"/>
      <c r="K860" s="277">
        <f t="shared" si="110"/>
        <v>13728450</v>
      </c>
      <c r="L860" s="277">
        <v>16016420</v>
      </c>
      <c r="M860" s="277">
        <f t="shared" si="111"/>
        <v>2287970</v>
      </c>
      <c r="N860" s="278">
        <f t="shared" si="114"/>
        <v>0.16665901831597887</v>
      </c>
      <c r="O860" s="277">
        <f t="shared" si="112"/>
        <v>2287970</v>
      </c>
      <c r="P860" s="278">
        <f t="shared" si="113"/>
        <v>0.16665901831597887</v>
      </c>
    </row>
    <row r="861" spans="3:16">
      <c r="E861" s="387" t="s">
        <v>137</v>
      </c>
      <c r="F861" s="298">
        <v>7650</v>
      </c>
      <c r="G861" s="135"/>
      <c r="H861" s="136"/>
      <c r="I861" s="136"/>
      <c r="J861" s="136"/>
      <c r="K861" s="298">
        <f t="shared" si="110"/>
        <v>7650</v>
      </c>
      <c r="L861" s="298">
        <v>7650</v>
      </c>
      <c r="M861" s="298">
        <f t="shared" si="111"/>
        <v>0</v>
      </c>
      <c r="N861" s="299">
        <f t="shared" si="114"/>
        <v>0</v>
      </c>
      <c r="O861" s="298">
        <f t="shared" si="112"/>
        <v>0</v>
      </c>
      <c r="P861" s="299">
        <f t="shared" si="113"/>
        <v>0</v>
      </c>
    </row>
    <row r="862" spans="3:16">
      <c r="E862" s="297" t="s">
        <v>1162</v>
      </c>
      <c r="F862" s="298"/>
      <c r="G862" s="135"/>
      <c r="H862" s="136"/>
      <c r="I862" s="381">
        <v>200000</v>
      </c>
      <c r="J862" s="136"/>
      <c r="K862" s="298">
        <f t="shared" si="110"/>
        <v>200000</v>
      </c>
      <c r="L862" s="298">
        <v>0</v>
      </c>
      <c r="M862" s="298">
        <f t="shared" si="111"/>
        <v>0</v>
      </c>
      <c r="N862" s="299"/>
      <c r="O862" s="298">
        <f t="shared" si="112"/>
        <v>-200000</v>
      </c>
      <c r="P862" s="299">
        <f t="shared" si="113"/>
        <v>-1</v>
      </c>
    </row>
    <row r="863" spans="3:16">
      <c r="E863" s="297"/>
      <c r="F863" s="298"/>
      <c r="G863" s="135"/>
      <c r="H863" s="136"/>
      <c r="I863" s="136"/>
      <c r="J863" s="136"/>
      <c r="K863" s="298">
        <f t="shared" si="110"/>
        <v>0</v>
      </c>
      <c r="L863" s="298">
        <v>0</v>
      </c>
      <c r="M863" s="298">
        <f t="shared" si="111"/>
        <v>0</v>
      </c>
      <c r="N863" s="299"/>
      <c r="O863" s="298">
        <f t="shared" si="112"/>
        <v>0</v>
      </c>
      <c r="P863" s="299"/>
    </row>
    <row r="864" spans="3:16">
      <c r="C864" s="537" t="s">
        <v>1029</v>
      </c>
      <c r="D864" s="537" t="s">
        <v>967</v>
      </c>
      <c r="E864" s="300" t="s">
        <v>138</v>
      </c>
      <c r="F864" s="268">
        <f>F865+F866+F867</f>
        <v>231180</v>
      </c>
      <c r="G864" s="135"/>
      <c r="H864" s="268">
        <f t="shared" ref="H864:I864" si="117">H865+H866+H867</f>
        <v>36000</v>
      </c>
      <c r="I864" s="268">
        <f t="shared" si="117"/>
        <v>44750</v>
      </c>
      <c r="J864" s="136"/>
      <c r="K864" s="268">
        <f t="shared" si="110"/>
        <v>311930</v>
      </c>
      <c r="L864" s="268">
        <f>L865+L866+L867</f>
        <v>281430</v>
      </c>
      <c r="M864" s="268">
        <f t="shared" si="111"/>
        <v>50250</v>
      </c>
      <c r="N864" s="157">
        <f t="shared" si="114"/>
        <v>0.21736309369322607</v>
      </c>
      <c r="O864" s="268">
        <f t="shared" si="112"/>
        <v>-30500</v>
      </c>
      <c r="P864" s="157">
        <f t="shared" si="113"/>
        <v>-9.7778347706216143E-2</v>
      </c>
    </row>
    <row r="865" spans="3:16">
      <c r="E865" s="297" t="s">
        <v>139</v>
      </c>
      <c r="F865" s="298">
        <v>173280</v>
      </c>
      <c r="G865" s="135"/>
      <c r="H865" s="136"/>
      <c r="I865" s="381">
        <v>44750</v>
      </c>
      <c r="J865" s="136"/>
      <c r="K865" s="298">
        <f t="shared" si="110"/>
        <v>218030</v>
      </c>
      <c r="L865" s="298">
        <v>187530</v>
      </c>
      <c r="M865" s="298">
        <f t="shared" si="111"/>
        <v>14250</v>
      </c>
      <c r="N865" s="299">
        <f t="shared" si="114"/>
        <v>8.2236842105263164E-2</v>
      </c>
      <c r="O865" s="298">
        <f t="shared" si="112"/>
        <v>-30500</v>
      </c>
      <c r="P865" s="299">
        <f t="shared" si="113"/>
        <v>-0.13988900610007798</v>
      </c>
    </row>
    <row r="866" spans="3:16">
      <c r="E866" s="297" t="s">
        <v>140</v>
      </c>
      <c r="F866" s="298">
        <v>48000</v>
      </c>
      <c r="G866" s="135"/>
      <c r="H866" s="381">
        <v>36000</v>
      </c>
      <c r="I866" s="381"/>
      <c r="J866" s="136"/>
      <c r="K866" s="298">
        <f t="shared" si="110"/>
        <v>84000</v>
      </c>
      <c r="L866" s="298">
        <v>84000</v>
      </c>
      <c r="M866" s="298">
        <f t="shared" si="111"/>
        <v>36000</v>
      </c>
      <c r="N866" s="299">
        <f t="shared" si="114"/>
        <v>0.75</v>
      </c>
      <c r="O866" s="298">
        <f t="shared" si="112"/>
        <v>0</v>
      </c>
      <c r="P866" s="299">
        <f t="shared" si="113"/>
        <v>0</v>
      </c>
    </row>
    <row r="867" spans="3:16">
      <c r="E867" s="297" t="s">
        <v>242</v>
      </c>
      <c r="F867" s="298">
        <v>9900</v>
      </c>
      <c r="G867" s="135"/>
      <c r="H867" s="136"/>
      <c r="I867" s="136"/>
      <c r="J867" s="136"/>
      <c r="K867" s="298">
        <f t="shared" si="110"/>
        <v>9900</v>
      </c>
      <c r="L867" s="298">
        <v>9900</v>
      </c>
      <c r="M867" s="298">
        <f t="shared" si="111"/>
        <v>0</v>
      </c>
      <c r="N867" s="299">
        <f t="shared" si="114"/>
        <v>0</v>
      </c>
      <c r="O867" s="298">
        <f t="shared" si="112"/>
        <v>0</v>
      </c>
      <c r="P867" s="299">
        <f t="shared" si="113"/>
        <v>0</v>
      </c>
    </row>
    <row r="868" spans="3:16">
      <c r="E868" s="297"/>
      <c r="F868" s="298"/>
      <c r="G868" s="135"/>
      <c r="H868" s="136"/>
      <c r="I868" s="136"/>
      <c r="J868" s="136"/>
      <c r="K868" s="298">
        <f t="shared" si="110"/>
        <v>0</v>
      </c>
      <c r="L868" s="298">
        <v>0</v>
      </c>
      <c r="M868" s="298">
        <f t="shared" si="111"/>
        <v>0</v>
      </c>
      <c r="N868" s="299"/>
      <c r="O868" s="298">
        <f t="shared" si="112"/>
        <v>0</v>
      </c>
      <c r="P868" s="299"/>
    </row>
    <row r="869" spans="3:16">
      <c r="E869" s="267" t="s">
        <v>141</v>
      </c>
      <c r="F869" s="268">
        <f>SUM(F870:F878)</f>
        <v>118113</v>
      </c>
      <c r="G869" s="135"/>
      <c r="H869" s="136"/>
      <c r="I869" s="136">
        <f>I870+I871+I875+I877+I878+I876</f>
        <v>0</v>
      </c>
      <c r="J869" s="136"/>
      <c r="K869" s="268">
        <f t="shared" si="110"/>
        <v>118113</v>
      </c>
      <c r="L869" s="268">
        <f>SUM(L870:L878)</f>
        <v>169329</v>
      </c>
      <c r="M869" s="268">
        <f t="shared" si="111"/>
        <v>51216</v>
      </c>
      <c r="N869" s="157">
        <f t="shared" si="114"/>
        <v>0.43361865332351224</v>
      </c>
      <c r="O869" s="268">
        <f t="shared" si="112"/>
        <v>51216</v>
      </c>
      <c r="P869" s="157">
        <f t="shared" si="113"/>
        <v>0.43361865332351224</v>
      </c>
    </row>
    <row r="870" spans="3:16">
      <c r="C870" s="537" t="s">
        <v>1029</v>
      </c>
      <c r="D870" s="537" t="s">
        <v>952</v>
      </c>
      <c r="E870" s="408" t="s">
        <v>493</v>
      </c>
      <c r="F870" s="304">
        <v>17570</v>
      </c>
      <c r="G870" s="135"/>
      <c r="H870" s="136"/>
      <c r="I870" s="136"/>
      <c r="J870" s="136"/>
      <c r="K870" s="304">
        <f t="shared" si="110"/>
        <v>17570</v>
      </c>
      <c r="L870" s="304">
        <v>17570</v>
      </c>
      <c r="M870" s="304">
        <f t="shared" si="111"/>
        <v>0</v>
      </c>
      <c r="N870" s="305">
        <f t="shared" si="114"/>
        <v>0</v>
      </c>
      <c r="O870" s="304">
        <f t="shared" si="112"/>
        <v>0</v>
      </c>
      <c r="P870" s="305">
        <f t="shared" si="113"/>
        <v>0</v>
      </c>
    </row>
    <row r="871" spans="3:16">
      <c r="C871" s="537" t="s">
        <v>1029</v>
      </c>
      <c r="D871" s="537" t="s">
        <v>982</v>
      </c>
      <c r="E871" s="409" t="s">
        <v>440</v>
      </c>
      <c r="F871" s="381">
        <v>50500</v>
      </c>
      <c r="G871" s="135"/>
      <c r="H871" s="136"/>
      <c r="I871" s="381">
        <v>-15000</v>
      </c>
      <c r="J871" s="136"/>
      <c r="K871" s="381">
        <f t="shared" si="110"/>
        <v>35500</v>
      </c>
      <c r="L871" s="381">
        <v>60500</v>
      </c>
      <c r="M871" s="381">
        <f t="shared" si="111"/>
        <v>10000</v>
      </c>
      <c r="N871" s="299">
        <f t="shared" si="114"/>
        <v>0.19801980198019803</v>
      </c>
      <c r="O871" s="381">
        <f t="shared" si="112"/>
        <v>25000</v>
      </c>
      <c r="P871" s="299">
        <f t="shared" si="113"/>
        <v>0.70422535211267601</v>
      </c>
    </row>
    <row r="872" spans="3:16">
      <c r="C872" s="537"/>
      <c r="D872" s="537"/>
      <c r="E872" s="409" t="s">
        <v>1202</v>
      </c>
      <c r="F872" s="381"/>
      <c r="G872" s="135"/>
      <c r="H872" s="136"/>
      <c r="I872" s="381"/>
      <c r="J872" s="136"/>
      <c r="K872" s="381">
        <f t="shared" si="110"/>
        <v>0</v>
      </c>
      <c r="L872" s="329">
        <v>10000</v>
      </c>
      <c r="M872" s="381">
        <f t="shared" si="111"/>
        <v>10000</v>
      </c>
      <c r="N872" s="299"/>
      <c r="O872" s="381">
        <f t="shared" si="112"/>
        <v>10000</v>
      </c>
      <c r="P872" s="299"/>
    </row>
    <row r="873" spans="3:16">
      <c r="C873" s="537"/>
      <c r="D873" s="537"/>
      <c r="E873" s="409" t="s">
        <v>1203</v>
      </c>
      <c r="F873" s="381"/>
      <c r="G873" s="135"/>
      <c r="H873" s="136"/>
      <c r="I873" s="381"/>
      <c r="J873" s="136"/>
      <c r="K873" s="381">
        <f t="shared" si="110"/>
        <v>0</v>
      </c>
      <c r="L873" s="329">
        <v>10000</v>
      </c>
      <c r="M873" s="381">
        <f t="shared" si="111"/>
        <v>10000</v>
      </c>
      <c r="N873" s="299"/>
      <c r="O873" s="381">
        <f t="shared" si="112"/>
        <v>10000</v>
      </c>
      <c r="P873" s="299"/>
    </row>
    <row r="874" spans="3:16">
      <c r="C874" s="537"/>
      <c r="D874" s="537"/>
      <c r="E874" s="409" t="s">
        <v>1204</v>
      </c>
      <c r="F874" s="381"/>
      <c r="G874" s="135"/>
      <c r="H874" s="136"/>
      <c r="I874" s="381"/>
      <c r="J874" s="136"/>
      <c r="K874" s="381">
        <f t="shared" si="110"/>
        <v>0</v>
      </c>
      <c r="L874" s="329">
        <v>10000</v>
      </c>
      <c r="M874" s="381">
        <f t="shared" si="111"/>
        <v>10000</v>
      </c>
      <c r="N874" s="299"/>
      <c r="O874" s="381">
        <f t="shared" si="112"/>
        <v>10000</v>
      </c>
      <c r="P874" s="299"/>
    </row>
    <row r="875" spans="3:16">
      <c r="C875" s="537" t="s">
        <v>1029</v>
      </c>
      <c r="D875" s="537" t="s">
        <v>982</v>
      </c>
      <c r="E875" s="183" t="s">
        <v>142</v>
      </c>
      <c r="F875" s="304">
        <v>21260</v>
      </c>
      <c r="G875" s="135"/>
      <c r="H875" s="136"/>
      <c r="I875" s="381">
        <v>13300</v>
      </c>
      <c r="J875" s="136"/>
      <c r="K875" s="304">
        <f t="shared" si="110"/>
        <v>34560</v>
      </c>
      <c r="L875" s="304">
        <v>19134</v>
      </c>
      <c r="M875" s="304">
        <f t="shared" si="111"/>
        <v>-2126</v>
      </c>
      <c r="N875" s="305">
        <f t="shared" si="114"/>
        <v>-0.1</v>
      </c>
      <c r="O875" s="304">
        <f t="shared" si="112"/>
        <v>-15426</v>
      </c>
      <c r="P875" s="305">
        <f t="shared" si="113"/>
        <v>-0.44635416666666666</v>
      </c>
    </row>
    <row r="876" spans="3:16">
      <c r="C876" s="537"/>
      <c r="D876" s="537"/>
      <c r="E876" s="183" t="s">
        <v>1163</v>
      </c>
      <c r="F876" s="304"/>
      <c r="G876" s="135"/>
      <c r="H876" s="136"/>
      <c r="I876" s="381">
        <v>1700</v>
      </c>
      <c r="J876" s="136"/>
      <c r="K876" s="304">
        <f t="shared" si="110"/>
        <v>1700</v>
      </c>
      <c r="L876" s="304"/>
      <c r="M876" s="304">
        <f t="shared" si="111"/>
        <v>0</v>
      </c>
      <c r="N876" s="305"/>
      <c r="O876" s="304">
        <f t="shared" si="112"/>
        <v>-1700</v>
      </c>
      <c r="P876" s="305">
        <f t="shared" si="113"/>
        <v>-1</v>
      </c>
    </row>
    <row r="877" spans="3:16">
      <c r="C877" s="537" t="s">
        <v>1029</v>
      </c>
      <c r="D877" s="537" t="s">
        <v>996</v>
      </c>
      <c r="E877" s="720" t="s">
        <v>1049</v>
      </c>
      <c r="F877" s="304"/>
      <c r="G877" s="135"/>
      <c r="H877" s="136"/>
      <c r="I877" s="381"/>
      <c r="J877" s="136"/>
      <c r="K877" s="304">
        <f t="shared" si="110"/>
        <v>0</v>
      </c>
      <c r="L877" s="304">
        <v>16220</v>
      </c>
      <c r="M877" s="304">
        <f t="shared" si="111"/>
        <v>16220</v>
      </c>
      <c r="N877" s="305"/>
      <c r="O877" s="304">
        <f t="shared" si="112"/>
        <v>16220</v>
      </c>
      <c r="P877" s="305"/>
    </row>
    <row r="878" spans="3:16">
      <c r="C878" s="537" t="s">
        <v>1029</v>
      </c>
      <c r="D878" s="537" t="s">
        <v>982</v>
      </c>
      <c r="E878" s="409" t="s">
        <v>431</v>
      </c>
      <c r="F878" s="381">
        <v>28783</v>
      </c>
      <c r="G878" s="135"/>
      <c r="H878" s="136"/>
      <c r="I878" s="136"/>
      <c r="J878" s="136"/>
      <c r="K878" s="381">
        <f t="shared" si="110"/>
        <v>28783</v>
      </c>
      <c r="L878" s="304">
        <v>25905</v>
      </c>
      <c r="M878" s="381">
        <f t="shared" si="111"/>
        <v>-2878</v>
      </c>
      <c r="N878" s="299">
        <f t="shared" si="114"/>
        <v>-9.9989577180974884E-2</v>
      </c>
      <c r="O878" s="381">
        <f t="shared" si="112"/>
        <v>-2878</v>
      </c>
      <c r="P878" s="299">
        <f t="shared" si="113"/>
        <v>-9.9989577180974884E-2</v>
      </c>
    </row>
    <row r="879" spans="3:16">
      <c r="C879" s="537"/>
      <c r="D879" s="537"/>
      <c r="E879" s="409"/>
      <c r="F879" s="381"/>
      <c r="G879" s="135"/>
      <c r="H879" s="136"/>
      <c r="I879" s="136"/>
      <c r="J879" s="136"/>
      <c r="K879" s="381">
        <f t="shared" si="110"/>
        <v>0</v>
      </c>
      <c r="L879" s="381">
        <v>0</v>
      </c>
      <c r="M879" s="381">
        <f t="shared" si="111"/>
        <v>0</v>
      </c>
      <c r="N879" s="299"/>
      <c r="O879" s="381">
        <f t="shared" si="112"/>
        <v>0</v>
      </c>
      <c r="P879" s="299"/>
    </row>
    <row r="880" spans="3:16">
      <c r="C880" s="537" t="s">
        <v>1029</v>
      </c>
      <c r="D880" s="537" t="s">
        <v>982</v>
      </c>
      <c r="E880" s="290" t="s">
        <v>494</v>
      </c>
      <c r="F880" s="291">
        <v>138737</v>
      </c>
      <c r="G880" s="135"/>
      <c r="H880" s="136"/>
      <c r="I880" s="136"/>
      <c r="J880" s="136">
        <v>-138737</v>
      </c>
      <c r="K880" s="381">
        <f t="shared" si="110"/>
        <v>0</v>
      </c>
      <c r="L880" s="291">
        <v>0</v>
      </c>
      <c r="M880" s="291">
        <f t="shared" si="111"/>
        <v>-138737</v>
      </c>
      <c r="N880" s="282">
        <f t="shared" si="114"/>
        <v>-1</v>
      </c>
      <c r="O880" s="291">
        <f t="shared" si="112"/>
        <v>0</v>
      </c>
      <c r="P880" s="282"/>
    </row>
    <row r="881" spans="1:16">
      <c r="E881" s="410" t="s">
        <v>47</v>
      </c>
      <c r="F881" s="124">
        <v>103690</v>
      </c>
      <c r="G881" s="135"/>
      <c r="H881" s="136"/>
      <c r="I881" s="136"/>
      <c r="J881" s="272">
        <v>-103690</v>
      </c>
      <c r="K881" s="381">
        <f t="shared" si="110"/>
        <v>0</v>
      </c>
      <c r="L881" s="124">
        <v>0</v>
      </c>
      <c r="M881" s="124">
        <f t="shared" si="111"/>
        <v>-103690</v>
      </c>
      <c r="N881" s="270">
        <f t="shared" si="114"/>
        <v>-1</v>
      </c>
      <c r="O881" s="124">
        <f t="shared" si="112"/>
        <v>0</v>
      </c>
      <c r="P881" s="270"/>
    </row>
    <row r="882" spans="1:16">
      <c r="E882" s="410"/>
      <c r="F882" s="124"/>
      <c r="G882" s="135"/>
      <c r="H882" s="136"/>
      <c r="I882" s="136"/>
      <c r="J882" s="272"/>
      <c r="K882" s="381">
        <f t="shared" si="110"/>
        <v>0</v>
      </c>
      <c r="L882" s="124">
        <v>0</v>
      </c>
      <c r="M882" s="124">
        <f t="shared" si="111"/>
        <v>0</v>
      </c>
      <c r="N882" s="270"/>
      <c r="O882" s="124">
        <f t="shared" si="112"/>
        <v>0</v>
      </c>
      <c r="P882" s="270"/>
    </row>
    <row r="883" spans="1:16">
      <c r="A883" s="615"/>
      <c r="E883" s="412" t="s">
        <v>1164</v>
      </c>
      <c r="F883" s="124"/>
      <c r="G883" s="135"/>
      <c r="H883" s="136"/>
      <c r="I883" s="136">
        <v>5000</v>
      </c>
      <c r="J883" s="136"/>
      <c r="K883" s="136">
        <f t="shared" si="110"/>
        <v>5000</v>
      </c>
      <c r="L883" s="124">
        <v>0</v>
      </c>
      <c r="M883" s="124">
        <f t="shared" si="111"/>
        <v>0</v>
      </c>
      <c r="N883" s="270"/>
      <c r="O883" s="124">
        <f t="shared" si="112"/>
        <v>-5000</v>
      </c>
      <c r="P883" s="270">
        <f t="shared" si="113"/>
        <v>-1</v>
      </c>
    </row>
    <row r="884" spans="1:16">
      <c r="E884" s="412"/>
      <c r="F884" s="124"/>
      <c r="G884" s="135"/>
      <c r="H884" s="136"/>
      <c r="I884" s="136"/>
      <c r="J884" s="136"/>
      <c r="K884" s="136">
        <f t="shared" si="110"/>
        <v>0</v>
      </c>
      <c r="L884" s="124">
        <v>0</v>
      </c>
      <c r="M884" s="124">
        <f t="shared" si="111"/>
        <v>0</v>
      </c>
      <c r="N884" s="270"/>
      <c r="O884" s="124">
        <f t="shared" si="112"/>
        <v>0</v>
      </c>
      <c r="P884" s="270"/>
    </row>
    <row r="885" spans="1:16">
      <c r="A885" s="615"/>
      <c r="E885" s="412" t="s">
        <v>1165</v>
      </c>
      <c r="F885" s="124"/>
      <c r="G885" s="135"/>
      <c r="H885" s="136"/>
      <c r="I885" s="136">
        <v>5000</v>
      </c>
      <c r="J885" s="136"/>
      <c r="K885" s="136">
        <f t="shared" si="110"/>
        <v>5000</v>
      </c>
      <c r="L885" s="124">
        <v>0</v>
      </c>
      <c r="M885" s="124">
        <f t="shared" si="111"/>
        <v>0</v>
      </c>
      <c r="N885" s="270"/>
      <c r="O885" s="124">
        <f t="shared" si="112"/>
        <v>-5000</v>
      </c>
      <c r="P885" s="270">
        <f t="shared" si="113"/>
        <v>-1</v>
      </c>
    </row>
    <row r="886" spans="1:16">
      <c r="E886" s="410"/>
      <c r="F886" s="124"/>
      <c r="G886" s="135"/>
      <c r="H886" s="136"/>
      <c r="I886" s="136"/>
      <c r="J886" s="136"/>
      <c r="K886" s="124">
        <f t="shared" si="110"/>
        <v>0</v>
      </c>
      <c r="L886" s="124">
        <v>0</v>
      </c>
      <c r="M886" s="124">
        <f t="shared" si="111"/>
        <v>0</v>
      </c>
      <c r="N886" s="270"/>
      <c r="O886" s="124">
        <f t="shared" si="112"/>
        <v>0</v>
      </c>
      <c r="P886" s="270"/>
    </row>
    <row r="887" spans="1:16">
      <c r="C887" s="537" t="s">
        <v>1029</v>
      </c>
      <c r="D887" s="537" t="s">
        <v>982</v>
      </c>
      <c r="E887" s="290" t="s">
        <v>382</v>
      </c>
      <c r="F887" s="291">
        <v>7700</v>
      </c>
      <c r="G887" s="135"/>
      <c r="H887" s="136"/>
      <c r="I887" s="136"/>
      <c r="J887" s="136"/>
      <c r="K887" s="291">
        <f t="shared" si="110"/>
        <v>7700</v>
      </c>
      <c r="L887" s="291">
        <v>7700</v>
      </c>
      <c r="M887" s="291">
        <f t="shared" si="111"/>
        <v>0</v>
      </c>
      <c r="N887" s="282">
        <f t="shared" si="114"/>
        <v>0</v>
      </c>
      <c r="O887" s="291">
        <f t="shared" si="112"/>
        <v>0</v>
      </c>
      <c r="P887" s="282">
        <f t="shared" si="113"/>
        <v>0</v>
      </c>
    </row>
    <row r="888" spans="1:16">
      <c r="E888" s="409"/>
      <c r="F888" s="381"/>
      <c r="G888" s="135"/>
      <c r="H888" s="136"/>
      <c r="I888" s="136"/>
      <c r="J888" s="136"/>
      <c r="K888" s="381">
        <f t="shared" si="110"/>
        <v>0</v>
      </c>
      <c r="L888" s="381">
        <v>0</v>
      </c>
      <c r="M888" s="381">
        <f t="shared" si="111"/>
        <v>0</v>
      </c>
      <c r="N888" s="299"/>
      <c r="O888" s="381">
        <f t="shared" si="112"/>
        <v>0</v>
      </c>
      <c r="P888" s="299"/>
    </row>
    <row r="889" spans="1:16">
      <c r="C889" s="537" t="s">
        <v>1029</v>
      </c>
      <c r="D889" s="537" t="s">
        <v>982</v>
      </c>
      <c r="E889" s="412" t="s">
        <v>907</v>
      </c>
      <c r="F889" s="136">
        <v>85840</v>
      </c>
      <c r="G889" s="135"/>
      <c r="H889" s="136"/>
      <c r="I889" s="136"/>
      <c r="J889" s="136"/>
      <c r="K889" s="136">
        <f t="shared" si="110"/>
        <v>85840</v>
      </c>
      <c r="L889" s="136">
        <v>85840</v>
      </c>
      <c r="M889" s="136">
        <f t="shared" si="111"/>
        <v>0</v>
      </c>
      <c r="N889" s="157">
        <f t="shared" si="114"/>
        <v>0</v>
      </c>
      <c r="O889" s="136">
        <f t="shared" si="112"/>
        <v>0</v>
      </c>
      <c r="P889" s="157">
        <f t="shared" si="113"/>
        <v>0</v>
      </c>
    </row>
    <row r="890" spans="1:16">
      <c r="C890" s="537"/>
      <c r="D890" s="537"/>
      <c r="E890" s="412"/>
      <c r="F890" s="136"/>
      <c r="G890" s="135"/>
      <c r="H890" s="136"/>
      <c r="I890" s="136"/>
      <c r="J890" s="136"/>
      <c r="K890" s="136">
        <f t="shared" si="110"/>
        <v>0</v>
      </c>
      <c r="L890" s="136">
        <v>0</v>
      </c>
      <c r="M890" s="136">
        <f t="shared" si="111"/>
        <v>0</v>
      </c>
      <c r="N890" s="157"/>
      <c r="O890" s="136">
        <f t="shared" si="112"/>
        <v>0</v>
      </c>
      <c r="P890" s="157"/>
    </row>
    <row r="891" spans="1:16">
      <c r="C891" s="537" t="s">
        <v>1029</v>
      </c>
      <c r="D891" s="537" t="s">
        <v>982</v>
      </c>
      <c r="E891" s="228" t="s">
        <v>908</v>
      </c>
      <c r="F891" s="136"/>
      <c r="G891" s="135"/>
      <c r="H891" s="136">
        <v>15000</v>
      </c>
      <c r="I891" s="136">
        <v>5000</v>
      </c>
      <c r="J891" s="136"/>
      <c r="K891" s="136">
        <f t="shared" si="110"/>
        <v>20000</v>
      </c>
      <c r="L891" s="136">
        <v>0</v>
      </c>
      <c r="M891" s="136">
        <f t="shared" si="111"/>
        <v>0</v>
      </c>
      <c r="N891" s="157"/>
      <c r="O891" s="136">
        <f t="shared" si="112"/>
        <v>-20000</v>
      </c>
      <c r="P891" s="157">
        <f t="shared" si="113"/>
        <v>-1</v>
      </c>
    </row>
    <row r="892" spans="1:16">
      <c r="C892" s="537"/>
      <c r="D892" s="537"/>
      <c r="E892" s="130" t="s">
        <v>47</v>
      </c>
      <c r="F892" s="136"/>
      <c r="G892" s="135"/>
      <c r="H892" s="136"/>
      <c r="I892" s="272">
        <v>300</v>
      </c>
      <c r="J892" s="272"/>
      <c r="K892" s="272">
        <f t="shared" si="110"/>
        <v>300</v>
      </c>
      <c r="L892" s="136">
        <v>0</v>
      </c>
      <c r="M892" s="136">
        <f t="shared" si="111"/>
        <v>0</v>
      </c>
      <c r="N892" s="157"/>
      <c r="O892" s="136">
        <f t="shared" si="112"/>
        <v>-300</v>
      </c>
      <c r="P892" s="157">
        <f t="shared" si="113"/>
        <v>-1</v>
      </c>
    </row>
    <row r="893" spans="1:16">
      <c r="E893" s="412"/>
      <c r="F893" s="136"/>
      <c r="G893" s="135"/>
      <c r="H893" s="136"/>
      <c r="I893" s="136"/>
      <c r="J893" s="136"/>
      <c r="K893" s="136">
        <f t="shared" si="110"/>
        <v>0</v>
      </c>
      <c r="L893" s="136">
        <v>0</v>
      </c>
      <c r="M893" s="136">
        <f t="shared" si="111"/>
        <v>0</v>
      </c>
      <c r="N893" s="157"/>
      <c r="O893" s="136">
        <f t="shared" si="112"/>
        <v>0</v>
      </c>
      <c r="P893" s="157"/>
    </row>
    <row r="894" spans="1:16" ht="26.4">
      <c r="C894" s="537" t="s">
        <v>1029</v>
      </c>
      <c r="D894" s="537" t="s">
        <v>982</v>
      </c>
      <c r="E894" s="290" t="s">
        <v>909</v>
      </c>
      <c r="F894" s="136"/>
      <c r="G894" s="135"/>
      <c r="H894" s="136">
        <v>65363</v>
      </c>
      <c r="I894" s="136"/>
      <c r="J894" s="136"/>
      <c r="K894" s="136">
        <f t="shared" si="110"/>
        <v>65363</v>
      </c>
      <c r="L894" s="136">
        <v>0</v>
      </c>
      <c r="M894" s="136">
        <f t="shared" si="111"/>
        <v>0</v>
      </c>
      <c r="N894" s="157"/>
      <c r="O894" s="136">
        <f t="shared" si="112"/>
        <v>-65363</v>
      </c>
      <c r="P894" s="157">
        <f t="shared" si="113"/>
        <v>-1</v>
      </c>
    </row>
    <row r="895" spans="1:16">
      <c r="E895" s="290"/>
      <c r="F895" s="136"/>
      <c r="G895" s="135"/>
      <c r="H895" s="136"/>
      <c r="I895" s="136"/>
      <c r="J895" s="136"/>
      <c r="K895" s="136">
        <f t="shared" si="110"/>
        <v>0</v>
      </c>
      <c r="L895" s="136">
        <v>0</v>
      </c>
      <c r="M895" s="136">
        <f t="shared" si="111"/>
        <v>0</v>
      </c>
      <c r="N895" s="157"/>
      <c r="O895" s="136">
        <f t="shared" si="112"/>
        <v>0</v>
      </c>
      <c r="P895" s="157"/>
    </row>
    <row r="896" spans="1:16">
      <c r="C896" s="537" t="s">
        <v>1029</v>
      </c>
      <c r="D896" s="537" t="s">
        <v>996</v>
      </c>
      <c r="E896" s="412" t="s">
        <v>910</v>
      </c>
      <c r="F896" s="136"/>
      <c r="G896" s="135"/>
      <c r="H896" s="136">
        <v>5000</v>
      </c>
      <c r="I896" s="136"/>
      <c r="J896" s="136"/>
      <c r="K896" s="136">
        <f t="shared" si="110"/>
        <v>5000</v>
      </c>
      <c r="L896" s="136">
        <v>10000</v>
      </c>
      <c r="M896" s="136">
        <f t="shared" si="111"/>
        <v>10000</v>
      </c>
      <c r="N896" s="157"/>
      <c r="O896" s="136">
        <f t="shared" si="112"/>
        <v>5000</v>
      </c>
      <c r="P896" s="157">
        <f t="shared" si="113"/>
        <v>1</v>
      </c>
    </row>
    <row r="897" spans="1:16">
      <c r="E897" s="290"/>
      <c r="F897" s="136"/>
      <c r="G897" s="135"/>
      <c r="H897" s="136"/>
      <c r="I897" s="136"/>
      <c r="J897" s="136"/>
      <c r="K897" s="136">
        <f t="shared" si="110"/>
        <v>0</v>
      </c>
      <c r="L897" s="136">
        <v>0</v>
      </c>
      <c r="M897" s="136">
        <f t="shared" si="111"/>
        <v>0</v>
      </c>
      <c r="N897" s="157"/>
      <c r="O897" s="136">
        <f t="shared" si="112"/>
        <v>0</v>
      </c>
      <c r="P897" s="157"/>
    </row>
    <row r="898" spans="1:16">
      <c r="C898" s="537" t="s">
        <v>1029</v>
      </c>
      <c r="D898" s="537" t="s">
        <v>967</v>
      </c>
      <c r="E898" s="412" t="s">
        <v>911</v>
      </c>
      <c r="F898" s="136"/>
      <c r="G898" s="135"/>
      <c r="H898" s="136">
        <v>20000</v>
      </c>
      <c r="I898" s="136"/>
      <c r="J898" s="136"/>
      <c r="K898" s="136">
        <f t="shared" si="110"/>
        <v>20000</v>
      </c>
      <c r="L898" s="136">
        <v>10000</v>
      </c>
      <c r="M898" s="136">
        <f t="shared" si="111"/>
        <v>10000</v>
      </c>
      <c r="N898" s="157"/>
      <c r="O898" s="136">
        <f t="shared" si="112"/>
        <v>-10000</v>
      </c>
      <c r="P898" s="157">
        <f t="shared" si="113"/>
        <v>-0.5</v>
      </c>
    </row>
    <row r="899" spans="1:16">
      <c r="E899" s="412"/>
      <c r="F899" s="136"/>
      <c r="G899" s="135"/>
      <c r="H899" s="136"/>
      <c r="I899" s="136"/>
      <c r="J899" s="136"/>
      <c r="K899" s="136">
        <f t="shared" si="110"/>
        <v>0</v>
      </c>
      <c r="L899" s="136">
        <v>0</v>
      </c>
      <c r="M899" s="136">
        <f t="shared" si="111"/>
        <v>0</v>
      </c>
      <c r="N899" s="157"/>
      <c r="O899" s="136">
        <f t="shared" si="112"/>
        <v>0</v>
      </c>
      <c r="P899" s="157"/>
    </row>
    <row r="900" spans="1:16">
      <c r="C900" s="537" t="s">
        <v>1029</v>
      </c>
      <c r="D900" s="537" t="s">
        <v>952</v>
      </c>
      <c r="E900" s="412" t="s">
        <v>912</v>
      </c>
      <c r="F900" s="136">
        <v>5000</v>
      </c>
      <c r="G900" s="135"/>
      <c r="H900" s="136"/>
      <c r="I900" s="136"/>
      <c r="J900" s="136"/>
      <c r="K900" s="136">
        <f t="shared" si="110"/>
        <v>5000</v>
      </c>
      <c r="L900" s="136">
        <v>0</v>
      </c>
      <c r="M900" s="136">
        <f t="shared" si="111"/>
        <v>-5000</v>
      </c>
      <c r="N900" s="157">
        <f t="shared" si="114"/>
        <v>-1</v>
      </c>
      <c r="O900" s="136">
        <f t="shared" si="112"/>
        <v>-5000</v>
      </c>
      <c r="P900" s="157">
        <f t="shared" si="113"/>
        <v>-1</v>
      </c>
    </row>
    <row r="901" spans="1:16">
      <c r="C901" s="537"/>
      <c r="D901" s="537"/>
      <c r="E901" s="267"/>
      <c r="F901" s="268"/>
      <c r="G901" s="135"/>
      <c r="H901" s="136"/>
      <c r="I901" s="136"/>
      <c r="J901" s="136"/>
      <c r="K901" s="268">
        <f t="shared" si="110"/>
        <v>0</v>
      </c>
      <c r="L901" s="268">
        <v>0</v>
      </c>
      <c r="M901" s="268">
        <f t="shared" si="111"/>
        <v>0</v>
      </c>
      <c r="N901" s="157"/>
      <c r="O901" s="268">
        <f t="shared" si="112"/>
        <v>0</v>
      </c>
      <c r="P901" s="157"/>
    </row>
    <row r="902" spans="1:16">
      <c r="C902" s="537"/>
      <c r="D902" s="537"/>
      <c r="E902" s="267" t="s">
        <v>1197</v>
      </c>
      <c r="F902" s="268"/>
      <c r="G902" s="135"/>
      <c r="H902" s="136"/>
      <c r="I902" s="136"/>
      <c r="J902" s="136"/>
      <c r="K902" s="268">
        <f t="shared" si="110"/>
        <v>0</v>
      </c>
      <c r="L902" s="268">
        <v>75000</v>
      </c>
      <c r="M902" s="268">
        <f t="shared" si="111"/>
        <v>75000</v>
      </c>
      <c r="N902" s="157"/>
      <c r="O902" s="268">
        <f t="shared" si="112"/>
        <v>75000</v>
      </c>
      <c r="P902" s="157"/>
    </row>
    <row r="903" spans="1:16">
      <c r="C903" s="537"/>
      <c r="D903" s="537"/>
      <c r="E903" s="267"/>
      <c r="F903" s="268"/>
      <c r="G903" s="135"/>
      <c r="H903" s="136"/>
      <c r="I903" s="136"/>
      <c r="J903" s="136"/>
      <c r="K903" s="268">
        <f t="shared" si="110"/>
        <v>0</v>
      </c>
      <c r="L903" s="268">
        <v>0</v>
      </c>
      <c r="M903" s="268">
        <f t="shared" si="111"/>
        <v>0</v>
      </c>
      <c r="N903" s="157"/>
      <c r="O903" s="268">
        <f t="shared" si="112"/>
        <v>0</v>
      </c>
      <c r="P903" s="157"/>
    </row>
    <row r="904" spans="1:16">
      <c r="C904" s="537"/>
      <c r="D904" s="537"/>
      <c r="E904" s="267" t="s">
        <v>1198</v>
      </c>
      <c r="F904" s="268"/>
      <c r="G904" s="135"/>
      <c r="H904" s="136"/>
      <c r="I904" s="136"/>
      <c r="J904" s="136"/>
      <c r="K904" s="268">
        <f t="shared" ref="K904:K967" si="118">F904+G904+H904+J904+I904</f>
        <v>0</v>
      </c>
      <c r="L904" s="268">
        <v>10000</v>
      </c>
      <c r="M904" s="268">
        <f t="shared" ref="M904:M967" si="119">L904-F904</f>
        <v>10000</v>
      </c>
      <c r="N904" s="157"/>
      <c r="O904" s="268">
        <f t="shared" ref="O904:O967" si="120">L904-K904</f>
        <v>10000</v>
      </c>
      <c r="P904" s="157"/>
    </row>
    <row r="905" spans="1:16">
      <c r="E905" s="412"/>
      <c r="F905" s="136"/>
      <c r="G905" s="135"/>
      <c r="H905" s="136"/>
      <c r="I905" s="136"/>
      <c r="J905" s="136"/>
      <c r="K905" s="136">
        <f t="shared" si="118"/>
        <v>0</v>
      </c>
      <c r="L905" s="136">
        <v>0</v>
      </c>
      <c r="M905" s="136">
        <f t="shared" si="119"/>
        <v>0</v>
      </c>
      <c r="N905" s="157"/>
      <c r="O905" s="136">
        <f t="shared" si="120"/>
        <v>0</v>
      </c>
      <c r="P905" s="157"/>
    </row>
    <row r="906" spans="1:16">
      <c r="C906" s="537" t="s">
        <v>1029</v>
      </c>
      <c r="D906" s="537" t="s">
        <v>982</v>
      </c>
      <c r="E906" s="412" t="s">
        <v>913</v>
      </c>
      <c r="F906" s="136">
        <v>5000</v>
      </c>
      <c r="G906" s="135"/>
      <c r="H906" s="136"/>
      <c r="I906" s="136"/>
      <c r="J906" s="136"/>
      <c r="K906" s="136">
        <f t="shared" si="118"/>
        <v>5000</v>
      </c>
      <c r="L906" s="136">
        <v>0</v>
      </c>
      <c r="M906" s="136">
        <f t="shared" si="119"/>
        <v>-5000</v>
      </c>
      <c r="N906" s="157">
        <f t="shared" ref="N906:N966" si="121">M906/F906</f>
        <v>-1</v>
      </c>
      <c r="O906" s="136">
        <f t="shared" si="120"/>
        <v>-5000</v>
      </c>
      <c r="P906" s="157">
        <f t="shared" ref="P906:P966" si="122">O906/K906</f>
        <v>-1</v>
      </c>
    </row>
    <row r="907" spans="1:16">
      <c r="C907" s="537"/>
      <c r="D907" s="537"/>
      <c r="E907" s="412"/>
      <c r="F907" s="136"/>
      <c r="G907" s="135"/>
      <c r="H907" s="136"/>
      <c r="I907" s="136"/>
      <c r="J907" s="136"/>
      <c r="K907" s="136">
        <f t="shared" si="118"/>
        <v>0</v>
      </c>
      <c r="L907" s="136">
        <v>0</v>
      </c>
      <c r="M907" s="136">
        <f t="shared" si="119"/>
        <v>0</v>
      </c>
      <c r="N907" s="157"/>
      <c r="O907" s="136">
        <f t="shared" si="120"/>
        <v>0</v>
      </c>
      <c r="P907" s="157"/>
    </row>
    <row r="908" spans="1:16">
      <c r="A908" s="615"/>
      <c r="C908" s="537"/>
      <c r="D908" s="537"/>
      <c r="E908" s="412" t="s">
        <v>1166</v>
      </c>
      <c r="F908" s="136"/>
      <c r="G908" s="135"/>
      <c r="H908" s="136"/>
      <c r="I908" s="136">
        <v>10000</v>
      </c>
      <c r="J908" s="136"/>
      <c r="K908" s="136">
        <f t="shared" si="118"/>
        <v>10000</v>
      </c>
      <c r="L908" s="136">
        <v>0</v>
      </c>
      <c r="M908" s="136">
        <f t="shared" si="119"/>
        <v>0</v>
      </c>
      <c r="N908" s="157"/>
      <c r="O908" s="136">
        <f t="shared" si="120"/>
        <v>-10000</v>
      </c>
      <c r="P908" s="157">
        <f t="shared" si="122"/>
        <v>-1</v>
      </c>
    </row>
    <row r="909" spans="1:16">
      <c r="C909" s="537"/>
      <c r="D909" s="537"/>
      <c r="E909" s="412"/>
      <c r="F909" s="136"/>
      <c r="G909" s="135"/>
      <c r="H909" s="136"/>
      <c r="I909" s="136"/>
      <c r="J909" s="136"/>
      <c r="K909" s="136">
        <f t="shared" si="118"/>
        <v>0</v>
      </c>
      <c r="L909" s="136">
        <v>0</v>
      </c>
      <c r="M909" s="136">
        <f t="shared" si="119"/>
        <v>0</v>
      </c>
      <c r="N909" s="157"/>
      <c r="O909" s="136">
        <f t="shared" si="120"/>
        <v>0</v>
      </c>
      <c r="P909" s="157"/>
    </row>
    <row r="910" spans="1:16">
      <c r="A910" s="615"/>
      <c r="C910" s="537"/>
      <c r="D910" s="537"/>
      <c r="E910" s="412" t="s">
        <v>1167</v>
      </c>
      <c r="F910" s="136"/>
      <c r="G910" s="135"/>
      <c r="H910" s="136"/>
      <c r="I910" s="136">
        <v>38284</v>
      </c>
      <c r="J910" s="136"/>
      <c r="K910" s="136">
        <f t="shared" si="118"/>
        <v>38284</v>
      </c>
      <c r="L910" s="136">
        <v>0</v>
      </c>
      <c r="M910" s="136">
        <f t="shared" si="119"/>
        <v>0</v>
      </c>
      <c r="N910" s="157"/>
      <c r="O910" s="136">
        <f t="shared" si="120"/>
        <v>-38284</v>
      </c>
      <c r="P910" s="157">
        <f t="shared" si="122"/>
        <v>-1</v>
      </c>
    </row>
    <row r="911" spans="1:16">
      <c r="E911" s="409"/>
      <c r="F911" s="381"/>
      <c r="G911" s="135"/>
      <c r="H911" s="136"/>
      <c r="I911" s="136"/>
      <c r="J911" s="136"/>
      <c r="K911" s="381">
        <f t="shared" si="118"/>
        <v>0</v>
      </c>
      <c r="L911" s="381">
        <v>0</v>
      </c>
      <c r="M911" s="381">
        <f t="shared" si="119"/>
        <v>0</v>
      </c>
      <c r="N911" s="299"/>
      <c r="O911" s="381">
        <f t="shared" si="120"/>
        <v>0</v>
      </c>
      <c r="P911" s="299"/>
    </row>
    <row r="912" spans="1:16" ht="26.4">
      <c r="C912" s="537" t="s">
        <v>1029</v>
      </c>
      <c r="D912" s="537" t="s">
        <v>967</v>
      </c>
      <c r="E912" s="290" t="s">
        <v>656</v>
      </c>
      <c r="F912" s="291">
        <v>445235</v>
      </c>
      <c r="G912" s="135"/>
      <c r="H912" s="136"/>
      <c r="I912" s="136"/>
      <c r="J912" s="136"/>
      <c r="K912" s="291">
        <f t="shared" si="118"/>
        <v>445235</v>
      </c>
      <c r="L912" s="291">
        <v>441840</v>
      </c>
      <c r="M912" s="291">
        <f t="shared" si="119"/>
        <v>-3395</v>
      </c>
      <c r="N912" s="282">
        <f t="shared" si="121"/>
        <v>-7.6251866991588714E-3</v>
      </c>
      <c r="O912" s="291">
        <f t="shared" si="120"/>
        <v>-3395</v>
      </c>
      <c r="P912" s="282">
        <f t="shared" si="122"/>
        <v>-7.6251866991588714E-3</v>
      </c>
    </row>
    <row r="913" spans="1:16">
      <c r="E913" s="130"/>
      <c r="F913" s="124"/>
      <c r="G913" s="135"/>
      <c r="H913" s="136"/>
      <c r="I913" s="136"/>
      <c r="J913" s="136"/>
      <c r="K913" s="124">
        <f t="shared" si="118"/>
        <v>0</v>
      </c>
      <c r="L913" s="124">
        <v>0</v>
      </c>
      <c r="M913" s="124">
        <f t="shared" si="119"/>
        <v>0</v>
      </c>
      <c r="N913" s="270"/>
      <c r="O913" s="124">
        <f t="shared" si="120"/>
        <v>0</v>
      </c>
      <c r="P913" s="270"/>
    </row>
    <row r="914" spans="1:16">
      <c r="E914" s="307" t="s">
        <v>224</v>
      </c>
      <c r="F914" s="125">
        <v>376375</v>
      </c>
      <c r="G914" s="135"/>
      <c r="H914" s="136"/>
      <c r="I914" s="136"/>
      <c r="J914" s="136"/>
      <c r="K914" s="125">
        <f t="shared" si="118"/>
        <v>376375</v>
      </c>
      <c r="L914" s="125">
        <v>372980</v>
      </c>
      <c r="M914" s="125">
        <f t="shared" si="119"/>
        <v>-3395</v>
      </c>
      <c r="N914" s="284">
        <f t="shared" si="121"/>
        <v>-9.0202590501494515E-3</v>
      </c>
      <c r="O914" s="125">
        <f t="shared" si="120"/>
        <v>-3395</v>
      </c>
      <c r="P914" s="284">
        <f t="shared" si="122"/>
        <v>-9.0202590501494515E-3</v>
      </c>
    </row>
    <row r="915" spans="1:16">
      <c r="E915" s="130"/>
      <c r="F915" s="124"/>
      <c r="G915" s="135"/>
      <c r="H915" s="136"/>
      <c r="I915" s="136"/>
      <c r="J915" s="136"/>
      <c r="K915" s="124">
        <f t="shared" si="118"/>
        <v>0</v>
      </c>
      <c r="L915" s="124">
        <v>0</v>
      </c>
      <c r="M915" s="124">
        <f t="shared" si="119"/>
        <v>0</v>
      </c>
      <c r="N915" s="270"/>
      <c r="O915" s="124">
        <f t="shared" si="120"/>
        <v>0</v>
      </c>
      <c r="P915" s="270"/>
    </row>
    <row r="916" spans="1:16">
      <c r="C916" s="537"/>
      <c r="D916" s="537"/>
      <c r="E916" s="267" t="s">
        <v>654</v>
      </c>
      <c r="F916" s="268">
        <v>2209</v>
      </c>
      <c r="G916" s="135"/>
      <c r="H916" s="136"/>
      <c r="I916" s="136"/>
      <c r="J916" s="136"/>
      <c r="K916" s="268">
        <f t="shared" si="118"/>
        <v>2209</v>
      </c>
      <c r="L916" s="268">
        <v>0</v>
      </c>
      <c r="M916" s="268">
        <f t="shared" si="119"/>
        <v>-2209</v>
      </c>
      <c r="N916" s="157">
        <f t="shared" si="121"/>
        <v>-1</v>
      </c>
      <c r="O916" s="268">
        <f t="shared" si="120"/>
        <v>-2209</v>
      </c>
      <c r="P916" s="157">
        <f t="shared" si="122"/>
        <v>-1</v>
      </c>
    </row>
    <row r="917" spans="1:16">
      <c r="E917" s="130" t="s">
        <v>47</v>
      </c>
      <c r="F917" s="124">
        <v>1643</v>
      </c>
      <c r="G917" s="135"/>
      <c r="H917" s="136"/>
      <c r="I917" s="136"/>
      <c r="J917" s="136"/>
      <c r="K917" s="124">
        <f t="shared" si="118"/>
        <v>1643</v>
      </c>
      <c r="L917" s="124">
        <v>0</v>
      </c>
      <c r="M917" s="124">
        <f t="shared" si="119"/>
        <v>-1643</v>
      </c>
      <c r="N917" s="270">
        <f t="shared" si="121"/>
        <v>-1</v>
      </c>
      <c r="O917" s="124">
        <f t="shared" si="120"/>
        <v>-1643</v>
      </c>
      <c r="P917" s="270">
        <f t="shared" si="122"/>
        <v>-1</v>
      </c>
    </row>
    <row r="918" spans="1:16">
      <c r="E918" s="130"/>
      <c r="F918" s="124"/>
      <c r="G918" s="135"/>
      <c r="H918" s="136"/>
      <c r="I918" s="136"/>
      <c r="J918" s="136"/>
      <c r="K918" s="124">
        <f t="shared" si="118"/>
        <v>0</v>
      </c>
      <c r="L918" s="124">
        <v>0</v>
      </c>
      <c r="M918" s="124">
        <f t="shared" si="119"/>
        <v>0</v>
      </c>
      <c r="N918" s="270"/>
      <c r="O918" s="124">
        <f t="shared" si="120"/>
        <v>0</v>
      </c>
      <c r="P918" s="270"/>
    </row>
    <row r="919" spans="1:16">
      <c r="E919" s="263" t="s">
        <v>224</v>
      </c>
      <c r="F919" s="128">
        <v>1657</v>
      </c>
      <c r="G919" s="135"/>
      <c r="H919" s="136"/>
      <c r="I919" s="136"/>
      <c r="J919" s="136"/>
      <c r="K919" s="128">
        <f t="shared" si="118"/>
        <v>1657</v>
      </c>
      <c r="L919" s="128">
        <v>0</v>
      </c>
      <c r="M919" s="128">
        <f t="shared" si="119"/>
        <v>-1657</v>
      </c>
      <c r="N919" s="91">
        <f t="shared" si="121"/>
        <v>-1</v>
      </c>
      <c r="O919" s="128">
        <f t="shared" si="120"/>
        <v>-1657</v>
      </c>
      <c r="P919" s="91">
        <f t="shared" si="122"/>
        <v>-1</v>
      </c>
    </row>
    <row r="920" spans="1:16">
      <c r="E920" s="263"/>
      <c r="F920" s="128"/>
      <c r="G920" s="135"/>
      <c r="H920" s="136"/>
      <c r="I920" s="136"/>
      <c r="J920" s="136"/>
      <c r="K920" s="128">
        <f t="shared" si="118"/>
        <v>0</v>
      </c>
      <c r="L920" s="128">
        <v>0</v>
      </c>
      <c r="M920" s="128">
        <f t="shared" si="119"/>
        <v>0</v>
      </c>
      <c r="N920" s="91"/>
      <c r="O920" s="128">
        <f t="shared" si="120"/>
        <v>0</v>
      </c>
      <c r="P920" s="91"/>
    </row>
    <row r="921" spans="1:16" ht="26.4">
      <c r="C921" s="537" t="s">
        <v>1029</v>
      </c>
      <c r="D921" s="537" t="s">
        <v>952</v>
      </c>
      <c r="E921" s="290" t="s">
        <v>525</v>
      </c>
      <c r="F921" s="291">
        <v>66168</v>
      </c>
      <c r="G921" s="135"/>
      <c r="H921" s="136"/>
      <c r="I921" s="136"/>
      <c r="J921" s="136"/>
      <c r="K921" s="291">
        <f t="shared" si="118"/>
        <v>66168</v>
      </c>
      <c r="L921" s="291">
        <v>33516</v>
      </c>
      <c r="M921" s="291">
        <f t="shared" si="119"/>
        <v>-32652</v>
      </c>
      <c r="N921" s="282">
        <f t="shared" si="121"/>
        <v>-0.49347116430903154</v>
      </c>
      <c r="O921" s="291">
        <f t="shared" si="120"/>
        <v>-32652</v>
      </c>
      <c r="P921" s="282">
        <f t="shared" si="122"/>
        <v>-0.49347116430903154</v>
      </c>
    </row>
    <row r="922" spans="1:16">
      <c r="E922" s="130"/>
      <c r="F922" s="124"/>
      <c r="G922" s="135"/>
      <c r="H922" s="136"/>
      <c r="I922" s="136"/>
      <c r="J922" s="136"/>
      <c r="K922" s="124">
        <f t="shared" si="118"/>
        <v>0</v>
      </c>
      <c r="L922" s="124">
        <v>0</v>
      </c>
      <c r="M922" s="124">
        <f t="shared" si="119"/>
        <v>0</v>
      </c>
      <c r="N922" s="270"/>
      <c r="O922" s="124">
        <f t="shared" si="120"/>
        <v>0</v>
      </c>
      <c r="P922" s="270"/>
    </row>
    <row r="923" spans="1:16">
      <c r="E923" s="263" t="s">
        <v>224</v>
      </c>
      <c r="F923" s="128">
        <v>66168</v>
      </c>
      <c r="G923" s="135"/>
      <c r="H923" s="136"/>
      <c r="I923" s="136"/>
      <c r="J923" s="136"/>
      <c r="K923" s="128">
        <f t="shared" si="118"/>
        <v>66168</v>
      </c>
      <c r="L923" s="128">
        <v>0</v>
      </c>
      <c r="M923" s="128">
        <f t="shared" si="119"/>
        <v>-66168</v>
      </c>
      <c r="N923" s="91">
        <f t="shared" si="121"/>
        <v>-1</v>
      </c>
      <c r="O923" s="128">
        <f t="shared" si="120"/>
        <v>-66168</v>
      </c>
      <c r="P923" s="91">
        <f t="shared" si="122"/>
        <v>-1</v>
      </c>
    </row>
    <row r="924" spans="1:16">
      <c r="E924" s="307"/>
      <c r="F924" s="128"/>
      <c r="G924" s="135"/>
      <c r="H924" s="136"/>
      <c r="I924" s="136"/>
      <c r="J924" s="136"/>
      <c r="K924" s="128">
        <f t="shared" si="118"/>
        <v>0</v>
      </c>
      <c r="L924" s="128">
        <v>0</v>
      </c>
      <c r="M924" s="128">
        <f t="shared" si="119"/>
        <v>0</v>
      </c>
      <c r="N924" s="91"/>
      <c r="O924" s="128">
        <f t="shared" si="120"/>
        <v>0</v>
      </c>
      <c r="P924" s="91"/>
    </row>
    <row r="925" spans="1:16">
      <c r="A925" s="135" t="s">
        <v>676</v>
      </c>
      <c r="B925" s="136" t="s">
        <v>107</v>
      </c>
      <c r="C925" s="381"/>
      <c r="D925" s="381"/>
      <c r="E925" s="413" t="s">
        <v>914</v>
      </c>
      <c r="F925" s="414">
        <f>F927+F935+F946+F948+F950+F952+F956+F958+F960+F968+F954+F962+F940+F966</f>
        <v>18031433</v>
      </c>
      <c r="G925" s="135"/>
      <c r="H925" s="414">
        <f>H927+H935+H946+H948+H950+H952+H956+H958+H960+H968+H954+H962+H940+H966+H964</f>
        <v>1142608</v>
      </c>
      <c r="I925" s="414">
        <f>I927+I935+I946+I948+I950+I952+I956+I958+I960+I968+I954+I962+I940+I966+I964+I972</f>
        <v>1267814</v>
      </c>
      <c r="J925" s="414">
        <f>J927+J935+J946+J948+J950+J952+J956+J958+J960+J968+J954+J962+J940+J966</f>
        <v>9949</v>
      </c>
      <c r="K925" s="414">
        <f t="shared" si="118"/>
        <v>20451804</v>
      </c>
      <c r="L925" s="414">
        <f>L927+L935+L940+L946+L948+L950+L952+L954+L956+L958+L960+L962+L964+L966+L968+L932+L943</f>
        <v>18638473</v>
      </c>
      <c r="M925" s="414">
        <f t="shared" si="119"/>
        <v>607040</v>
      </c>
      <c r="N925" s="405">
        <f t="shared" si="121"/>
        <v>3.3665654859488983E-2</v>
      </c>
      <c r="O925" s="414">
        <f t="shared" si="120"/>
        <v>-1813331</v>
      </c>
      <c r="P925" s="405">
        <f t="shared" si="122"/>
        <v>-8.8663621067364029E-2</v>
      </c>
    </row>
    <row r="926" spans="1:16">
      <c r="E926" s="413"/>
      <c r="F926" s="414"/>
      <c r="G926" s="135"/>
      <c r="H926" s="136"/>
      <c r="I926" s="136"/>
      <c r="J926" s="136"/>
      <c r="K926" s="414">
        <f t="shared" si="118"/>
        <v>0</v>
      </c>
      <c r="L926" s="414">
        <v>0</v>
      </c>
      <c r="M926" s="414">
        <f t="shared" si="119"/>
        <v>0</v>
      </c>
      <c r="N926" s="405"/>
      <c r="O926" s="414">
        <f t="shared" si="120"/>
        <v>0</v>
      </c>
      <c r="P926" s="405"/>
    </row>
    <row r="927" spans="1:16">
      <c r="C927" s="537" t="s">
        <v>1032</v>
      </c>
      <c r="D927" s="537" t="s">
        <v>970</v>
      </c>
      <c r="E927" s="267" t="s">
        <v>1036</v>
      </c>
      <c r="F927" s="268">
        <v>14358938</v>
      </c>
      <c r="G927" s="135"/>
      <c r="H927" s="136">
        <v>1988791</v>
      </c>
      <c r="I927" s="136">
        <v>81653</v>
      </c>
      <c r="J927" s="136"/>
      <c r="K927" s="268">
        <f t="shared" si="118"/>
        <v>16429382</v>
      </c>
      <c r="L927" s="268">
        <v>14893744</v>
      </c>
      <c r="M927" s="268">
        <f t="shared" si="119"/>
        <v>534806</v>
      </c>
      <c r="N927" s="157">
        <f t="shared" si="121"/>
        <v>3.7245512168100452E-2</v>
      </c>
      <c r="O927" s="268">
        <f t="shared" si="120"/>
        <v>-1535638</v>
      </c>
      <c r="P927" s="157">
        <f t="shared" si="122"/>
        <v>-9.3469005711839928E-2</v>
      </c>
    </row>
    <row r="928" spans="1:16">
      <c r="E928" s="130" t="s">
        <v>47</v>
      </c>
      <c r="F928" s="124">
        <v>8779640</v>
      </c>
      <c r="G928" s="135"/>
      <c r="H928" s="272">
        <v>1471219</v>
      </c>
      <c r="I928" s="272">
        <v>-125892</v>
      </c>
      <c r="J928" s="136"/>
      <c r="K928" s="124">
        <f t="shared" si="118"/>
        <v>10124967</v>
      </c>
      <c r="L928" s="124">
        <v>9297401</v>
      </c>
      <c r="M928" s="124">
        <f t="shared" si="119"/>
        <v>517761</v>
      </c>
      <c r="N928" s="270">
        <f t="shared" si="121"/>
        <v>5.8972919162972516E-2</v>
      </c>
      <c r="O928" s="124">
        <f t="shared" si="120"/>
        <v>-827566</v>
      </c>
      <c r="P928" s="270">
        <f t="shared" si="122"/>
        <v>-8.1735179976389058E-2</v>
      </c>
    </row>
    <row r="929" spans="3:16">
      <c r="E929" s="130"/>
      <c r="F929" s="124"/>
      <c r="G929" s="135"/>
      <c r="H929" s="272"/>
      <c r="I929" s="272"/>
      <c r="J929" s="136"/>
      <c r="K929" s="124">
        <f t="shared" si="118"/>
        <v>0</v>
      </c>
      <c r="L929" s="124">
        <v>0</v>
      </c>
      <c r="M929" s="124">
        <f t="shared" si="119"/>
        <v>0</v>
      </c>
      <c r="N929" s="270"/>
      <c r="O929" s="124">
        <f t="shared" si="120"/>
        <v>0</v>
      </c>
      <c r="P929" s="270"/>
    </row>
    <row r="930" spans="3:16">
      <c r="E930" s="316" t="s">
        <v>842</v>
      </c>
      <c r="F930" s="124"/>
      <c r="G930" s="135"/>
      <c r="H930" s="272"/>
      <c r="I930" s="272">
        <v>16429382</v>
      </c>
      <c r="J930" s="136"/>
      <c r="K930" s="124">
        <f t="shared" si="118"/>
        <v>16429382</v>
      </c>
      <c r="L930" s="124">
        <v>0</v>
      </c>
      <c r="M930" s="124">
        <f t="shared" si="119"/>
        <v>0</v>
      </c>
      <c r="N930" s="270"/>
      <c r="O930" s="124">
        <f t="shared" si="120"/>
        <v>-16429382</v>
      </c>
      <c r="P930" s="270">
        <f t="shared" si="122"/>
        <v>-1</v>
      </c>
    </row>
    <row r="931" spans="3:16">
      <c r="E931" s="130"/>
      <c r="F931" s="124"/>
      <c r="G931" s="135"/>
      <c r="H931" s="272"/>
      <c r="I931" s="272"/>
      <c r="J931" s="136"/>
      <c r="K931" s="124">
        <f t="shared" si="118"/>
        <v>0</v>
      </c>
      <c r="L931" s="124">
        <v>0</v>
      </c>
      <c r="M931" s="124">
        <f t="shared" si="119"/>
        <v>0</v>
      </c>
      <c r="N931" s="270"/>
      <c r="O931" s="124">
        <f t="shared" si="120"/>
        <v>0</v>
      </c>
      <c r="P931" s="270"/>
    </row>
    <row r="932" spans="3:16">
      <c r="C932" s="537" t="s">
        <v>1032</v>
      </c>
      <c r="D932" s="537" t="s">
        <v>970</v>
      </c>
      <c r="E932" s="267" t="s">
        <v>1186</v>
      </c>
      <c r="F932" s="124"/>
      <c r="G932" s="135"/>
      <c r="H932" s="272"/>
      <c r="I932" s="272"/>
      <c r="J932" s="136"/>
      <c r="K932" s="124">
        <f t="shared" si="118"/>
        <v>0</v>
      </c>
      <c r="L932" s="268">
        <v>964000</v>
      </c>
      <c r="M932" s="268">
        <f t="shared" si="119"/>
        <v>964000</v>
      </c>
      <c r="N932" s="157"/>
      <c r="O932" s="268">
        <f t="shared" si="120"/>
        <v>964000</v>
      </c>
      <c r="P932" s="157"/>
    </row>
    <row r="933" spans="3:16">
      <c r="E933" s="130" t="s">
        <v>47</v>
      </c>
      <c r="F933" s="124"/>
      <c r="G933" s="135"/>
      <c r="H933" s="272"/>
      <c r="I933" s="272"/>
      <c r="J933" s="136"/>
      <c r="K933" s="124">
        <f t="shared" si="118"/>
        <v>0</v>
      </c>
      <c r="L933" s="124">
        <v>0</v>
      </c>
      <c r="M933" s="124">
        <f t="shared" si="119"/>
        <v>0</v>
      </c>
      <c r="N933" s="270"/>
      <c r="O933" s="124">
        <f t="shared" si="120"/>
        <v>0</v>
      </c>
      <c r="P933" s="270"/>
    </row>
    <row r="934" spans="3:16">
      <c r="E934" s="413"/>
      <c r="F934" s="414"/>
      <c r="G934" s="135"/>
      <c r="H934" s="136"/>
      <c r="I934" s="136"/>
      <c r="J934" s="136"/>
      <c r="K934" s="414">
        <f t="shared" si="118"/>
        <v>0</v>
      </c>
      <c r="L934" s="414">
        <v>0</v>
      </c>
      <c r="M934" s="414">
        <f t="shared" si="119"/>
        <v>0</v>
      </c>
      <c r="N934" s="405"/>
      <c r="O934" s="414">
        <f t="shared" si="120"/>
        <v>0</v>
      </c>
      <c r="P934" s="405"/>
    </row>
    <row r="935" spans="3:16">
      <c r="C935" s="537" t="s">
        <v>1032</v>
      </c>
      <c r="D935" s="537" t="s">
        <v>985</v>
      </c>
      <c r="E935" s="267" t="s">
        <v>144</v>
      </c>
      <c r="F935" s="268">
        <f>F937+F938</f>
        <v>833050</v>
      </c>
      <c r="G935" s="135"/>
      <c r="H935" s="268">
        <f>H937+H938</f>
        <v>68500</v>
      </c>
      <c r="I935" s="268">
        <f>I937</f>
        <v>-27056</v>
      </c>
      <c r="J935" s="136"/>
      <c r="K935" s="268">
        <f t="shared" si="118"/>
        <v>874494</v>
      </c>
      <c r="L935" s="268">
        <f>L937+L938</f>
        <v>886485</v>
      </c>
      <c r="M935" s="268">
        <f t="shared" si="119"/>
        <v>53435</v>
      </c>
      <c r="N935" s="157">
        <f t="shared" si="121"/>
        <v>6.4143808895024315E-2</v>
      </c>
      <c r="O935" s="268">
        <f t="shared" si="120"/>
        <v>11991</v>
      </c>
      <c r="P935" s="157">
        <f t="shared" si="122"/>
        <v>1.3711929412894772E-2</v>
      </c>
    </row>
    <row r="936" spans="3:16">
      <c r="E936" s="130" t="s">
        <v>47</v>
      </c>
      <c r="F936" s="124">
        <v>1000</v>
      </c>
      <c r="G936" s="135"/>
      <c r="H936" s="136"/>
      <c r="I936" s="136"/>
      <c r="J936" s="136"/>
      <c r="K936" s="124">
        <f t="shared" si="118"/>
        <v>1000</v>
      </c>
      <c r="L936" s="124">
        <v>2500</v>
      </c>
      <c r="M936" s="124">
        <f t="shared" si="119"/>
        <v>1500</v>
      </c>
      <c r="N936" s="270">
        <f t="shared" si="121"/>
        <v>1.5</v>
      </c>
      <c r="O936" s="124">
        <f t="shared" si="120"/>
        <v>1500</v>
      </c>
      <c r="P936" s="270">
        <f t="shared" si="122"/>
        <v>1.5</v>
      </c>
    </row>
    <row r="937" spans="3:16">
      <c r="E937" s="296" t="s">
        <v>495</v>
      </c>
      <c r="F937" s="298">
        <v>467969</v>
      </c>
      <c r="G937" s="135"/>
      <c r="H937" s="381">
        <v>68500</v>
      </c>
      <c r="I937" s="381">
        <v>-27056</v>
      </c>
      <c r="J937" s="136"/>
      <c r="K937" s="298">
        <f t="shared" si="118"/>
        <v>509413</v>
      </c>
      <c r="L937" s="298">
        <v>521404</v>
      </c>
      <c r="M937" s="298">
        <f t="shared" si="119"/>
        <v>53435</v>
      </c>
      <c r="N937" s="299">
        <f t="shared" si="121"/>
        <v>0.11418491395797585</v>
      </c>
      <c r="O937" s="298">
        <f t="shared" si="120"/>
        <v>11991</v>
      </c>
      <c r="P937" s="299">
        <f t="shared" si="122"/>
        <v>2.3538857469283272E-2</v>
      </c>
    </row>
    <row r="938" spans="3:16">
      <c r="E938" s="297" t="s">
        <v>145</v>
      </c>
      <c r="F938" s="298">
        <v>365081</v>
      </c>
      <c r="G938" s="135"/>
      <c r="H938" s="136"/>
      <c r="I938" s="136"/>
      <c r="J938" s="136"/>
      <c r="K938" s="298">
        <f t="shared" si="118"/>
        <v>365081</v>
      </c>
      <c r="L938" s="298">
        <v>365081</v>
      </c>
      <c r="M938" s="298">
        <f t="shared" si="119"/>
        <v>0</v>
      </c>
      <c r="N938" s="299">
        <f t="shared" si="121"/>
        <v>0</v>
      </c>
      <c r="O938" s="298">
        <f t="shared" si="120"/>
        <v>0</v>
      </c>
      <c r="P938" s="299">
        <f t="shared" si="122"/>
        <v>0</v>
      </c>
    </row>
    <row r="939" spans="3:16">
      <c r="E939" s="297"/>
      <c r="F939" s="298"/>
      <c r="G939" s="135"/>
      <c r="H939" s="136"/>
      <c r="I939" s="136"/>
      <c r="J939" s="136"/>
      <c r="K939" s="298">
        <f t="shared" si="118"/>
        <v>0</v>
      </c>
      <c r="L939" s="298">
        <v>0</v>
      </c>
      <c r="M939" s="298">
        <f t="shared" si="119"/>
        <v>0</v>
      </c>
      <c r="N939" s="299"/>
      <c r="O939" s="298">
        <f t="shared" si="120"/>
        <v>0</v>
      </c>
      <c r="P939" s="299"/>
    </row>
    <row r="940" spans="3:16">
      <c r="C940" s="537" t="s">
        <v>1032</v>
      </c>
      <c r="D940" s="537" t="s">
        <v>985</v>
      </c>
      <c r="E940" s="103" t="s">
        <v>526</v>
      </c>
      <c r="F940" s="268">
        <v>447180</v>
      </c>
      <c r="G940" s="135"/>
      <c r="H940" s="136">
        <v>39119</v>
      </c>
      <c r="I940" s="136">
        <v>9255</v>
      </c>
      <c r="J940" s="136">
        <v>9949</v>
      </c>
      <c r="K940" s="268">
        <f t="shared" si="118"/>
        <v>505503</v>
      </c>
      <c r="L940" s="268">
        <v>611256</v>
      </c>
      <c r="M940" s="268">
        <f t="shared" si="119"/>
        <v>164076</v>
      </c>
      <c r="N940" s="157">
        <f t="shared" si="121"/>
        <v>0.3669126526231048</v>
      </c>
      <c r="O940" s="268">
        <f t="shared" si="120"/>
        <v>105753</v>
      </c>
      <c r="P940" s="157">
        <f t="shared" si="122"/>
        <v>0.20920350621064562</v>
      </c>
    </row>
    <row r="941" spans="3:16">
      <c r="E941" s="130" t="s">
        <v>47</v>
      </c>
      <c r="F941" s="124">
        <v>334215</v>
      </c>
      <c r="G941" s="135"/>
      <c r="H941" s="272">
        <v>29236</v>
      </c>
      <c r="I941" s="272">
        <v>6906</v>
      </c>
      <c r="J941" s="272">
        <v>7436</v>
      </c>
      <c r="K941" s="124">
        <f t="shared" si="118"/>
        <v>377793</v>
      </c>
      <c r="L941" s="124">
        <v>406063</v>
      </c>
      <c r="M941" s="124">
        <f t="shared" si="119"/>
        <v>71848</v>
      </c>
      <c r="N941" s="270">
        <f t="shared" si="121"/>
        <v>0.21497539009320349</v>
      </c>
      <c r="O941" s="124">
        <f t="shared" si="120"/>
        <v>28270</v>
      </c>
      <c r="P941" s="270">
        <f t="shared" si="122"/>
        <v>7.4829337759037357E-2</v>
      </c>
    </row>
    <row r="942" spans="3:16">
      <c r="E942" s="130"/>
      <c r="F942" s="124"/>
      <c r="G942" s="135"/>
      <c r="H942" s="272"/>
      <c r="I942" s="272"/>
      <c r="J942" s="272"/>
      <c r="K942" s="124">
        <f t="shared" si="118"/>
        <v>0</v>
      </c>
      <c r="L942" s="124">
        <v>0</v>
      </c>
      <c r="M942" s="124">
        <f t="shared" si="119"/>
        <v>0</v>
      </c>
      <c r="N942" s="270"/>
      <c r="O942" s="124">
        <f t="shared" si="120"/>
        <v>0</v>
      </c>
      <c r="P942" s="270"/>
    </row>
    <row r="943" spans="3:16">
      <c r="E943" s="103" t="s">
        <v>1195</v>
      </c>
      <c r="F943" s="124"/>
      <c r="G943" s="135"/>
      <c r="H943" s="272"/>
      <c r="I943" s="272"/>
      <c r="J943" s="272"/>
      <c r="K943" s="124">
        <f t="shared" si="118"/>
        <v>0</v>
      </c>
      <c r="L943" s="268">
        <v>50000</v>
      </c>
      <c r="M943" s="268">
        <f t="shared" si="119"/>
        <v>50000</v>
      </c>
      <c r="N943" s="157"/>
      <c r="O943" s="268">
        <f t="shared" si="120"/>
        <v>50000</v>
      </c>
      <c r="P943" s="157"/>
    </row>
    <row r="944" spans="3:16">
      <c r="E944" s="130" t="s">
        <v>47</v>
      </c>
      <c r="F944" s="124"/>
      <c r="G944" s="135"/>
      <c r="H944" s="272"/>
      <c r="I944" s="272"/>
      <c r="J944" s="272"/>
      <c r="K944" s="124">
        <f t="shared" si="118"/>
        <v>0</v>
      </c>
      <c r="L944" s="124">
        <v>37369</v>
      </c>
      <c r="M944" s="124">
        <f t="shared" si="119"/>
        <v>37369</v>
      </c>
      <c r="N944" s="270"/>
      <c r="O944" s="124">
        <f t="shared" si="120"/>
        <v>37369</v>
      </c>
      <c r="P944" s="270"/>
    </row>
    <row r="945" spans="3:16">
      <c r="E945" s="302"/>
      <c r="F945" s="298"/>
      <c r="G945" s="135"/>
      <c r="H945" s="136"/>
      <c r="I945" s="136"/>
      <c r="J945" s="136"/>
      <c r="K945" s="298">
        <f t="shared" si="118"/>
        <v>0</v>
      </c>
      <c r="L945" s="298">
        <v>0</v>
      </c>
      <c r="M945" s="298">
        <f t="shared" si="119"/>
        <v>0</v>
      </c>
      <c r="N945" s="299"/>
      <c r="O945" s="298">
        <f t="shared" si="120"/>
        <v>0</v>
      </c>
      <c r="P945" s="299"/>
    </row>
    <row r="946" spans="3:16">
      <c r="C946" s="537" t="s">
        <v>1032</v>
      </c>
      <c r="D946" s="537" t="s">
        <v>970</v>
      </c>
      <c r="E946" s="267" t="s">
        <v>146</v>
      </c>
      <c r="F946" s="268">
        <v>137560</v>
      </c>
      <c r="G946" s="135"/>
      <c r="H946" s="136"/>
      <c r="I946" s="136"/>
      <c r="J946" s="136"/>
      <c r="K946" s="268">
        <f t="shared" si="118"/>
        <v>137560</v>
      </c>
      <c r="L946" s="268">
        <v>137560</v>
      </c>
      <c r="M946" s="268">
        <f t="shared" si="119"/>
        <v>0</v>
      </c>
      <c r="N946" s="157">
        <f t="shared" si="121"/>
        <v>0</v>
      </c>
      <c r="O946" s="268">
        <f t="shared" si="120"/>
        <v>0</v>
      </c>
      <c r="P946" s="157">
        <f t="shared" si="122"/>
        <v>0</v>
      </c>
    </row>
    <row r="947" spans="3:16">
      <c r="E947" s="302"/>
      <c r="F947" s="298"/>
      <c r="G947" s="135"/>
      <c r="H947" s="136"/>
      <c r="I947" s="136"/>
      <c r="J947" s="136"/>
      <c r="K947" s="298">
        <f t="shared" si="118"/>
        <v>0</v>
      </c>
      <c r="L947" s="298">
        <v>0</v>
      </c>
      <c r="M947" s="298">
        <f t="shared" si="119"/>
        <v>0</v>
      </c>
      <c r="N947" s="299"/>
      <c r="O947" s="298">
        <f t="shared" si="120"/>
        <v>0</v>
      </c>
      <c r="P947" s="299"/>
    </row>
    <row r="948" spans="3:16">
      <c r="C948" s="537" t="s">
        <v>1032</v>
      </c>
      <c r="D948" s="537" t="s">
        <v>955</v>
      </c>
      <c r="E948" s="267" t="s">
        <v>147</v>
      </c>
      <c r="F948" s="268">
        <v>425000</v>
      </c>
      <c r="G948" s="135"/>
      <c r="H948" s="136"/>
      <c r="I948" s="136"/>
      <c r="J948" s="136"/>
      <c r="K948" s="268">
        <f t="shared" si="118"/>
        <v>425000</v>
      </c>
      <c r="L948" s="268">
        <v>425000</v>
      </c>
      <c r="M948" s="268">
        <f t="shared" si="119"/>
        <v>0</v>
      </c>
      <c r="N948" s="157">
        <f t="shared" si="121"/>
        <v>0</v>
      </c>
      <c r="O948" s="268">
        <f t="shared" si="120"/>
        <v>0</v>
      </c>
      <c r="P948" s="157">
        <f t="shared" si="122"/>
        <v>0</v>
      </c>
    </row>
    <row r="949" spans="3:16">
      <c r="E949" s="267"/>
      <c r="F949" s="268"/>
      <c r="G949" s="135"/>
      <c r="H949" s="136"/>
      <c r="I949" s="136"/>
      <c r="J949" s="136"/>
      <c r="K949" s="268">
        <f t="shared" si="118"/>
        <v>0</v>
      </c>
      <c r="L949" s="268">
        <v>0</v>
      </c>
      <c r="M949" s="268">
        <f t="shared" si="119"/>
        <v>0</v>
      </c>
      <c r="N949" s="157"/>
      <c r="O949" s="268">
        <f t="shared" si="120"/>
        <v>0</v>
      </c>
      <c r="P949" s="157"/>
    </row>
    <row r="950" spans="3:16" ht="26.4">
      <c r="C950" s="537" t="s">
        <v>1032</v>
      </c>
      <c r="D950" s="537" t="s">
        <v>999</v>
      </c>
      <c r="E950" s="290" t="s">
        <v>459</v>
      </c>
      <c r="F950" s="291">
        <v>55225</v>
      </c>
      <c r="G950" s="135"/>
      <c r="H950" s="136"/>
      <c r="I950" s="136"/>
      <c r="J950" s="136"/>
      <c r="K950" s="291">
        <f t="shared" si="118"/>
        <v>55225</v>
      </c>
      <c r="L950" s="291">
        <v>55225</v>
      </c>
      <c r="M950" s="291">
        <f t="shared" si="119"/>
        <v>0</v>
      </c>
      <c r="N950" s="282">
        <f t="shared" si="121"/>
        <v>0</v>
      </c>
      <c r="O950" s="291">
        <f t="shared" si="120"/>
        <v>0</v>
      </c>
      <c r="P950" s="282">
        <f t="shared" si="122"/>
        <v>0</v>
      </c>
    </row>
    <row r="951" spans="3:16">
      <c r="E951" s="290"/>
      <c r="F951" s="291"/>
      <c r="G951" s="135"/>
      <c r="H951" s="136"/>
      <c r="I951" s="136"/>
      <c r="J951" s="136"/>
      <c r="K951" s="291">
        <f t="shared" si="118"/>
        <v>0</v>
      </c>
      <c r="L951" s="291">
        <v>0</v>
      </c>
      <c r="M951" s="291">
        <f t="shared" si="119"/>
        <v>0</v>
      </c>
      <c r="N951" s="282"/>
      <c r="O951" s="291">
        <f t="shared" si="120"/>
        <v>0</v>
      </c>
      <c r="P951" s="282"/>
    </row>
    <row r="952" spans="3:16">
      <c r="C952" s="537" t="s">
        <v>1032</v>
      </c>
      <c r="D952" s="537" t="s">
        <v>970</v>
      </c>
      <c r="E952" s="290" t="s">
        <v>148</v>
      </c>
      <c r="F952" s="291">
        <v>389510</v>
      </c>
      <c r="G952" s="135"/>
      <c r="H952" s="136"/>
      <c r="I952" s="136">
        <v>3962</v>
      </c>
      <c r="J952" s="136"/>
      <c r="K952" s="291">
        <f t="shared" si="118"/>
        <v>393472</v>
      </c>
      <c r="L952" s="291">
        <v>420233</v>
      </c>
      <c r="M952" s="291">
        <f t="shared" si="119"/>
        <v>30723</v>
      </c>
      <c r="N952" s="282">
        <f t="shared" si="121"/>
        <v>7.8876023722112401E-2</v>
      </c>
      <c r="O952" s="291">
        <f t="shared" si="120"/>
        <v>26761</v>
      </c>
      <c r="P952" s="282">
        <f t="shared" si="122"/>
        <v>6.8012463402732592E-2</v>
      </c>
    </row>
    <row r="953" spans="3:16">
      <c r="E953" s="290"/>
      <c r="F953" s="291"/>
      <c r="G953" s="135"/>
      <c r="H953" s="136"/>
      <c r="I953" s="136"/>
      <c r="J953" s="136"/>
      <c r="K953" s="291">
        <f t="shared" si="118"/>
        <v>0</v>
      </c>
      <c r="L953" s="291">
        <v>0</v>
      </c>
      <c r="M953" s="291">
        <f t="shared" si="119"/>
        <v>0</v>
      </c>
      <c r="N953" s="282"/>
      <c r="O953" s="291">
        <f t="shared" si="120"/>
        <v>0</v>
      </c>
      <c r="P953" s="282"/>
    </row>
    <row r="954" spans="3:16">
      <c r="C954" s="537" t="s">
        <v>1032</v>
      </c>
      <c r="D954" s="537" t="s">
        <v>999</v>
      </c>
      <c r="E954" s="290" t="s">
        <v>383</v>
      </c>
      <c r="F954" s="291">
        <v>9000</v>
      </c>
      <c r="G954" s="135"/>
      <c r="H954" s="136"/>
      <c r="I954" s="136"/>
      <c r="J954" s="136"/>
      <c r="K954" s="291">
        <f t="shared" si="118"/>
        <v>9000</v>
      </c>
      <c r="L954" s="291">
        <v>9000</v>
      </c>
      <c r="M954" s="291">
        <f t="shared" si="119"/>
        <v>0</v>
      </c>
      <c r="N954" s="282">
        <f t="shared" si="121"/>
        <v>0</v>
      </c>
      <c r="O954" s="291">
        <f t="shared" si="120"/>
        <v>0</v>
      </c>
      <c r="P954" s="282">
        <f t="shared" si="122"/>
        <v>0</v>
      </c>
    </row>
    <row r="955" spans="3:16">
      <c r="E955" s="297"/>
      <c r="F955" s="298"/>
      <c r="G955" s="135"/>
      <c r="H955" s="136"/>
      <c r="I955" s="136"/>
      <c r="J955" s="136"/>
      <c r="K955" s="298">
        <f t="shared" si="118"/>
        <v>0</v>
      </c>
      <c r="L955" s="298">
        <v>0</v>
      </c>
      <c r="M955" s="298">
        <f t="shared" si="119"/>
        <v>0</v>
      </c>
      <c r="N955" s="299"/>
      <c r="O955" s="298">
        <f t="shared" si="120"/>
        <v>0</v>
      </c>
      <c r="P955" s="299"/>
    </row>
    <row r="956" spans="3:16">
      <c r="C956" s="537" t="s">
        <v>1032</v>
      </c>
      <c r="D956" s="537" t="s">
        <v>955</v>
      </c>
      <c r="E956" s="267" t="s">
        <v>149</v>
      </c>
      <c r="F956" s="268">
        <v>6230</v>
      </c>
      <c r="G956" s="135"/>
      <c r="H956" s="136"/>
      <c r="I956" s="136"/>
      <c r="J956" s="136"/>
      <c r="K956" s="268">
        <f t="shared" si="118"/>
        <v>6230</v>
      </c>
      <c r="L956" s="268">
        <v>6230</v>
      </c>
      <c r="M956" s="268">
        <f t="shared" si="119"/>
        <v>0</v>
      </c>
      <c r="N956" s="157">
        <f t="shared" si="121"/>
        <v>0</v>
      </c>
      <c r="O956" s="268">
        <f t="shared" si="120"/>
        <v>0</v>
      </c>
      <c r="P956" s="157">
        <f t="shared" si="122"/>
        <v>0</v>
      </c>
    </row>
    <row r="957" spans="3:16">
      <c r="E957" s="267"/>
      <c r="F957" s="268"/>
      <c r="G957" s="135"/>
      <c r="H957" s="136"/>
      <c r="I957" s="136"/>
      <c r="J957" s="136"/>
      <c r="K957" s="268">
        <f t="shared" si="118"/>
        <v>0</v>
      </c>
      <c r="L957" s="268">
        <v>0</v>
      </c>
      <c r="M957" s="268">
        <f t="shared" si="119"/>
        <v>0</v>
      </c>
      <c r="N957" s="157"/>
      <c r="O957" s="268">
        <f t="shared" si="120"/>
        <v>0</v>
      </c>
      <c r="P957" s="157"/>
    </row>
    <row r="958" spans="3:16">
      <c r="C958" s="537" t="s">
        <v>1032</v>
      </c>
      <c r="D958" s="537" t="s">
        <v>999</v>
      </c>
      <c r="E958" s="267" t="s">
        <v>150</v>
      </c>
      <c r="F958" s="268">
        <v>25170</v>
      </c>
      <c r="G958" s="135"/>
      <c r="H958" s="136"/>
      <c r="I958" s="136"/>
      <c r="J958" s="136"/>
      <c r="K958" s="268">
        <f t="shared" si="118"/>
        <v>25170</v>
      </c>
      <c r="L958" s="268">
        <v>25170</v>
      </c>
      <c r="M958" s="268">
        <f t="shared" si="119"/>
        <v>0</v>
      </c>
      <c r="N958" s="157">
        <f t="shared" si="121"/>
        <v>0</v>
      </c>
      <c r="O958" s="268">
        <f t="shared" si="120"/>
        <v>0</v>
      </c>
      <c r="P958" s="157">
        <f t="shared" si="122"/>
        <v>0</v>
      </c>
    </row>
    <row r="959" spans="3:16">
      <c r="E959" s="267"/>
      <c r="F959" s="268"/>
      <c r="G959" s="135"/>
      <c r="H959" s="136"/>
      <c r="I959" s="136"/>
      <c r="J959" s="136"/>
      <c r="K959" s="268">
        <f t="shared" si="118"/>
        <v>0</v>
      </c>
      <c r="L959" s="268">
        <v>0</v>
      </c>
      <c r="M959" s="268">
        <f t="shared" si="119"/>
        <v>0</v>
      </c>
      <c r="N959" s="157"/>
      <c r="O959" s="268">
        <f t="shared" si="120"/>
        <v>0</v>
      </c>
      <c r="P959" s="157"/>
    </row>
    <row r="960" spans="3:16">
      <c r="C960" s="537" t="s">
        <v>1032</v>
      </c>
      <c r="D960" s="537" t="s">
        <v>999</v>
      </c>
      <c r="E960" s="267" t="s">
        <v>454</v>
      </c>
      <c r="F960" s="268">
        <v>15170</v>
      </c>
      <c r="G960" s="135"/>
      <c r="H960" s="136"/>
      <c r="I960" s="136"/>
      <c r="J960" s="136"/>
      <c r="K960" s="268">
        <f t="shared" si="118"/>
        <v>15170</v>
      </c>
      <c r="L960" s="268">
        <v>15170</v>
      </c>
      <c r="M960" s="268">
        <f t="shared" si="119"/>
        <v>0</v>
      </c>
      <c r="N960" s="157">
        <f t="shared" si="121"/>
        <v>0</v>
      </c>
      <c r="O960" s="268">
        <f t="shared" si="120"/>
        <v>0</v>
      </c>
      <c r="P960" s="157">
        <f t="shared" si="122"/>
        <v>0</v>
      </c>
    </row>
    <row r="961" spans="3:16">
      <c r="E961" s="10"/>
      <c r="F961" s="136"/>
      <c r="G961" s="135"/>
      <c r="H961" s="136"/>
      <c r="I961" s="136"/>
      <c r="J961" s="136"/>
      <c r="K961" s="136">
        <f t="shared" si="118"/>
        <v>0</v>
      </c>
      <c r="L961" s="136">
        <v>0</v>
      </c>
      <c r="M961" s="136">
        <f t="shared" si="119"/>
        <v>0</v>
      </c>
      <c r="N961" s="157"/>
      <c r="O961" s="136">
        <f t="shared" si="120"/>
        <v>0</v>
      </c>
      <c r="P961" s="157"/>
    </row>
    <row r="962" spans="3:16">
      <c r="C962" s="537" t="s">
        <v>1032</v>
      </c>
      <c r="D962" s="537" t="s">
        <v>999</v>
      </c>
      <c r="E962" s="267" t="s">
        <v>455</v>
      </c>
      <c r="F962" s="268">
        <v>14400</v>
      </c>
      <c r="G962" s="135"/>
      <c r="H962" s="136"/>
      <c r="I962" s="136"/>
      <c r="J962" s="136"/>
      <c r="K962" s="268">
        <f t="shared" si="118"/>
        <v>14400</v>
      </c>
      <c r="L962" s="268">
        <v>14400</v>
      </c>
      <c r="M962" s="268">
        <f t="shared" si="119"/>
        <v>0</v>
      </c>
      <c r="N962" s="157">
        <f t="shared" si="121"/>
        <v>0</v>
      </c>
      <c r="O962" s="268">
        <f t="shared" si="120"/>
        <v>0</v>
      </c>
      <c r="P962" s="157">
        <f t="shared" si="122"/>
        <v>0</v>
      </c>
    </row>
    <row r="963" spans="3:16">
      <c r="E963" s="267"/>
      <c r="F963" s="268"/>
      <c r="G963" s="135"/>
      <c r="H963" s="136"/>
      <c r="I963" s="136"/>
      <c r="J963" s="136"/>
      <c r="K963" s="268">
        <f t="shared" si="118"/>
        <v>0</v>
      </c>
      <c r="L963" s="268">
        <v>0</v>
      </c>
      <c r="M963" s="268">
        <f t="shared" si="119"/>
        <v>0</v>
      </c>
      <c r="N963" s="157"/>
      <c r="O963" s="268">
        <f t="shared" si="120"/>
        <v>0</v>
      </c>
      <c r="P963" s="157"/>
    </row>
    <row r="964" spans="3:16">
      <c r="C964" s="537" t="s">
        <v>1032</v>
      </c>
      <c r="D964" s="537" t="s">
        <v>999</v>
      </c>
      <c r="E964" s="267" t="s">
        <v>915</v>
      </c>
      <c r="F964" s="268"/>
      <c r="G964" s="135"/>
      <c r="H964" s="136">
        <v>10000</v>
      </c>
      <c r="I964" s="136"/>
      <c r="J964" s="136"/>
      <c r="K964" s="268">
        <f t="shared" si="118"/>
        <v>10000</v>
      </c>
      <c r="L964" s="268">
        <v>10000</v>
      </c>
      <c r="M964" s="268">
        <f t="shared" si="119"/>
        <v>10000</v>
      </c>
      <c r="N964" s="157"/>
      <c r="O964" s="268">
        <f t="shared" si="120"/>
        <v>0</v>
      </c>
      <c r="P964" s="157">
        <f t="shared" si="122"/>
        <v>0</v>
      </c>
    </row>
    <row r="965" spans="3:16">
      <c r="E965" s="267"/>
      <c r="F965" s="268"/>
      <c r="G965" s="135"/>
      <c r="H965" s="136"/>
      <c r="I965" s="136"/>
      <c r="J965" s="136"/>
      <c r="K965" s="268">
        <f t="shared" si="118"/>
        <v>0</v>
      </c>
      <c r="L965" s="268">
        <v>0</v>
      </c>
      <c r="M965" s="268">
        <f t="shared" si="119"/>
        <v>0</v>
      </c>
      <c r="N965" s="157"/>
      <c r="O965" s="268">
        <f t="shared" si="120"/>
        <v>0</v>
      </c>
      <c r="P965" s="157"/>
    </row>
    <row r="966" spans="3:16">
      <c r="C966" s="537" t="s">
        <v>1032</v>
      </c>
      <c r="D966" s="537" t="s">
        <v>970</v>
      </c>
      <c r="E966" s="267" t="s">
        <v>496</v>
      </c>
      <c r="F966" s="268">
        <v>115000</v>
      </c>
      <c r="G966" s="135"/>
      <c r="H966" s="136"/>
      <c r="I966" s="136"/>
      <c r="J966" s="136"/>
      <c r="K966" s="268">
        <f t="shared" si="118"/>
        <v>115000</v>
      </c>
      <c r="L966" s="268">
        <v>115000</v>
      </c>
      <c r="M966" s="268">
        <f t="shared" si="119"/>
        <v>0</v>
      </c>
      <c r="N966" s="157">
        <f t="shared" si="121"/>
        <v>0</v>
      </c>
      <c r="O966" s="268">
        <f t="shared" si="120"/>
        <v>0</v>
      </c>
      <c r="P966" s="157">
        <f t="shared" si="122"/>
        <v>0</v>
      </c>
    </row>
    <row r="967" spans="3:16">
      <c r="E967" s="267"/>
      <c r="F967" s="268"/>
      <c r="G967" s="135"/>
      <c r="H967" s="136"/>
      <c r="I967" s="136"/>
      <c r="J967" s="136"/>
      <c r="K967" s="268">
        <f t="shared" si="118"/>
        <v>0</v>
      </c>
      <c r="L967" s="268">
        <v>0</v>
      </c>
      <c r="M967" s="268">
        <f t="shared" si="119"/>
        <v>0</v>
      </c>
      <c r="N967" s="157"/>
      <c r="O967" s="268">
        <f t="shared" si="120"/>
        <v>0</v>
      </c>
      <c r="P967" s="157"/>
    </row>
    <row r="968" spans="3:16">
      <c r="C968" s="537"/>
      <c r="D968" s="537"/>
      <c r="E968" s="267" t="s">
        <v>355</v>
      </c>
      <c r="F968" s="268">
        <v>1200000</v>
      </c>
      <c r="G968" s="135"/>
      <c r="H968" s="136">
        <v>-963802</v>
      </c>
      <c r="I968" s="136"/>
      <c r="J968" s="136"/>
      <c r="K968" s="268">
        <f t="shared" ref="K968:K1031" si="123">F968+G968+H968+J968+I968</f>
        <v>236198</v>
      </c>
      <c r="L968" s="268">
        <v>0</v>
      </c>
      <c r="M968" s="268">
        <f t="shared" ref="M968:M1031" si="124">L968-F968</f>
        <v>-1200000</v>
      </c>
      <c r="N968" s="157">
        <f t="shared" ref="N968:N1024" si="125">M968/F968</f>
        <v>-1</v>
      </c>
      <c r="O968" s="268">
        <f t="shared" ref="O968:O1031" si="126">L968-K968</f>
        <v>-236198</v>
      </c>
      <c r="P968" s="157">
        <f t="shared" ref="P968:P1024" si="127">O968/K968</f>
        <v>-1</v>
      </c>
    </row>
    <row r="969" spans="3:16">
      <c r="E969" s="130" t="s">
        <v>47</v>
      </c>
      <c r="F969" s="124">
        <v>658800</v>
      </c>
      <c r="G969" s="135"/>
      <c r="H969" s="272">
        <v>-488922</v>
      </c>
      <c r="I969" s="272"/>
      <c r="J969" s="136"/>
      <c r="K969" s="124">
        <f t="shared" si="123"/>
        <v>169878</v>
      </c>
      <c r="L969" s="124">
        <v>0</v>
      </c>
      <c r="M969" s="124">
        <f t="shared" si="124"/>
        <v>-658800</v>
      </c>
      <c r="N969" s="270">
        <f t="shared" si="125"/>
        <v>-1</v>
      </c>
      <c r="O969" s="124">
        <f t="shared" si="126"/>
        <v>-169878</v>
      </c>
      <c r="P969" s="270">
        <f t="shared" si="127"/>
        <v>-1</v>
      </c>
    </row>
    <row r="970" spans="3:16">
      <c r="E970" s="130"/>
      <c r="F970" s="124"/>
      <c r="G970" s="135"/>
      <c r="H970" s="272"/>
      <c r="I970" s="272"/>
      <c r="J970" s="136"/>
      <c r="K970" s="124">
        <f t="shared" si="123"/>
        <v>0</v>
      </c>
      <c r="L970" s="124">
        <v>0</v>
      </c>
      <c r="M970" s="124">
        <f t="shared" si="124"/>
        <v>0</v>
      </c>
      <c r="N970" s="270"/>
      <c r="O970" s="124">
        <f t="shared" si="126"/>
        <v>0</v>
      </c>
      <c r="P970" s="270"/>
    </row>
    <row r="971" spans="3:16" ht="26.4">
      <c r="E971" s="290" t="s">
        <v>1168</v>
      </c>
      <c r="F971" s="268"/>
      <c r="G971" s="135"/>
      <c r="H971" s="135"/>
      <c r="I971" s="136"/>
      <c r="J971" s="135"/>
      <c r="K971" s="268">
        <f t="shared" si="123"/>
        <v>0</v>
      </c>
      <c r="L971" s="268">
        <v>0</v>
      </c>
      <c r="M971" s="268">
        <f t="shared" si="124"/>
        <v>0</v>
      </c>
      <c r="N971" s="157"/>
      <c r="O971" s="268">
        <f t="shared" si="126"/>
        <v>0</v>
      </c>
      <c r="P971" s="157"/>
    </row>
    <row r="972" spans="3:16">
      <c r="E972" s="290"/>
      <c r="F972" s="268"/>
      <c r="G972" s="135"/>
      <c r="H972" s="135"/>
      <c r="I972" s="136">
        <v>1200000</v>
      </c>
      <c r="J972" s="135"/>
      <c r="K972" s="268">
        <f t="shared" si="123"/>
        <v>1200000</v>
      </c>
      <c r="L972" s="268">
        <v>0</v>
      </c>
      <c r="M972" s="268">
        <f t="shared" si="124"/>
        <v>0</v>
      </c>
      <c r="N972" s="157"/>
      <c r="O972" s="268">
        <f t="shared" si="126"/>
        <v>-1200000</v>
      </c>
      <c r="P972" s="157">
        <f t="shared" si="127"/>
        <v>-1</v>
      </c>
    </row>
    <row r="973" spans="3:16">
      <c r="E973" s="295"/>
      <c r="F973" s="268"/>
      <c r="G973" s="135"/>
      <c r="H973" s="135"/>
      <c r="I973" s="136"/>
      <c r="J973" s="135"/>
      <c r="K973" s="268">
        <f t="shared" si="123"/>
        <v>0</v>
      </c>
      <c r="L973" s="268">
        <v>0</v>
      </c>
      <c r="M973" s="268">
        <f t="shared" si="124"/>
        <v>0</v>
      </c>
      <c r="N973" s="157"/>
      <c r="O973" s="268">
        <f t="shared" si="126"/>
        <v>0</v>
      </c>
      <c r="P973" s="157"/>
    </row>
    <row r="974" spans="3:16" ht="15.6">
      <c r="E974" s="415" t="s">
        <v>38</v>
      </c>
      <c r="F974" s="416"/>
      <c r="G974" s="135"/>
      <c r="H974" s="135"/>
      <c r="I974" s="136"/>
      <c r="J974" s="135"/>
      <c r="K974" s="416">
        <f t="shared" si="123"/>
        <v>0</v>
      </c>
      <c r="L974" s="416">
        <v>0</v>
      </c>
      <c r="M974" s="416">
        <f t="shared" si="124"/>
        <v>0</v>
      </c>
      <c r="N974" s="417"/>
      <c r="O974" s="416">
        <f t="shared" si="126"/>
        <v>0</v>
      </c>
      <c r="P974" s="417"/>
    </row>
    <row r="975" spans="3:16">
      <c r="E975" s="418"/>
      <c r="F975" s="419"/>
      <c r="G975" s="135"/>
      <c r="H975" s="135"/>
      <c r="I975" s="136"/>
      <c r="J975" s="135"/>
      <c r="K975" s="419">
        <f t="shared" si="123"/>
        <v>0</v>
      </c>
      <c r="L975" s="419">
        <v>0</v>
      </c>
      <c r="M975" s="419">
        <f t="shared" si="124"/>
        <v>0</v>
      </c>
      <c r="N975" s="370"/>
      <c r="O975" s="419">
        <f t="shared" si="126"/>
        <v>0</v>
      </c>
      <c r="P975" s="370"/>
    </row>
    <row r="976" spans="3:16">
      <c r="E976" s="418" t="s">
        <v>98</v>
      </c>
      <c r="F976" s="419">
        <f>SUM(F984,F989)</f>
        <v>27428628</v>
      </c>
      <c r="G976" s="419">
        <f t="shared" ref="G976:I976" si="128">SUM(G984,G989)</f>
        <v>0</v>
      </c>
      <c r="H976" s="419">
        <f t="shared" si="128"/>
        <v>1072201</v>
      </c>
      <c r="I976" s="419">
        <f t="shared" si="128"/>
        <v>1256202</v>
      </c>
      <c r="J976" s="419">
        <f>SUM(J984,J989)</f>
        <v>326045</v>
      </c>
      <c r="K976" s="419">
        <f t="shared" si="123"/>
        <v>30083076</v>
      </c>
      <c r="L976" s="419">
        <f>SUM(L984,L989)</f>
        <v>33203995</v>
      </c>
      <c r="M976" s="419">
        <f t="shared" si="124"/>
        <v>5775367</v>
      </c>
      <c r="N976" s="370">
        <f t="shared" si="125"/>
        <v>0.21055982092870268</v>
      </c>
      <c r="O976" s="419">
        <f t="shared" si="126"/>
        <v>3120919</v>
      </c>
      <c r="P976" s="370">
        <f t="shared" si="127"/>
        <v>0.10374334725611171</v>
      </c>
    </row>
    <row r="977" spans="1:16">
      <c r="E977" s="420" t="s">
        <v>359</v>
      </c>
      <c r="F977" s="362">
        <v>4500000</v>
      </c>
      <c r="G977" s="362"/>
      <c r="H977" s="362"/>
      <c r="I977" s="136">
        <v>600000</v>
      </c>
      <c r="J977" s="362"/>
      <c r="K977" s="362">
        <f t="shared" si="123"/>
        <v>5100000</v>
      </c>
      <c r="L977" s="362">
        <v>5500000</v>
      </c>
      <c r="M977" s="362">
        <f t="shared" si="124"/>
        <v>1000000</v>
      </c>
      <c r="N977" s="189">
        <f t="shared" si="125"/>
        <v>0.22222222222222221</v>
      </c>
      <c r="O977" s="362">
        <f t="shared" si="126"/>
        <v>400000</v>
      </c>
      <c r="P977" s="189">
        <f t="shared" si="127"/>
        <v>7.8431372549019607E-2</v>
      </c>
    </row>
    <row r="978" spans="1:16">
      <c r="E978" s="418" t="s">
        <v>44</v>
      </c>
      <c r="F978" s="419">
        <f>SUM(F979:F981)</f>
        <v>27428628</v>
      </c>
      <c r="G978" s="419">
        <f t="shared" ref="G978:I978" si="129">SUM(G979:G981)</f>
        <v>0</v>
      </c>
      <c r="H978" s="419">
        <f t="shared" si="129"/>
        <v>1072201</v>
      </c>
      <c r="I978" s="419">
        <f t="shared" si="129"/>
        <v>1256202</v>
      </c>
      <c r="J978" s="419">
        <f>SUM(J979:J981)</f>
        <v>326045</v>
      </c>
      <c r="K978" s="419">
        <f t="shared" si="123"/>
        <v>30083076</v>
      </c>
      <c r="L978" s="419">
        <f>SUM(L979:L981)</f>
        <v>33203995</v>
      </c>
      <c r="M978" s="419">
        <f t="shared" si="124"/>
        <v>5775367</v>
      </c>
      <c r="N978" s="370">
        <f t="shared" si="125"/>
        <v>0.21055982092870268</v>
      </c>
      <c r="O978" s="419">
        <f t="shared" si="126"/>
        <v>3120919</v>
      </c>
      <c r="P978" s="370">
        <f t="shared" si="127"/>
        <v>0.10374334725611171</v>
      </c>
    </row>
    <row r="979" spans="1:16">
      <c r="E979" s="420" t="s">
        <v>45</v>
      </c>
      <c r="F979" s="362">
        <v>6853000</v>
      </c>
      <c r="G979" s="362"/>
      <c r="H979" s="362">
        <v>1202000</v>
      </c>
      <c r="I979" s="362">
        <v>1269600</v>
      </c>
      <c r="J979" s="362"/>
      <c r="K979" s="362">
        <f t="shared" si="123"/>
        <v>9324600</v>
      </c>
      <c r="L979" s="362">
        <v>9451000</v>
      </c>
      <c r="M979" s="362">
        <f t="shared" si="124"/>
        <v>2598000</v>
      </c>
      <c r="N979" s="189">
        <f t="shared" si="125"/>
        <v>0.37910404202539033</v>
      </c>
      <c r="O979" s="362">
        <f t="shared" si="126"/>
        <v>126400</v>
      </c>
      <c r="P979" s="189">
        <f t="shared" si="127"/>
        <v>1.3555541256461403E-2</v>
      </c>
    </row>
    <row r="980" spans="1:16">
      <c r="E980" s="263" t="s">
        <v>33</v>
      </c>
      <c r="F980" s="362"/>
      <c r="G980" s="362"/>
      <c r="H980" s="362"/>
      <c r="I980" s="362"/>
      <c r="J980" s="362"/>
      <c r="K980" s="362">
        <f t="shared" si="123"/>
        <v>0</v>
      </c>
      <c r="L980" s="362">
        <v>42000</v>
      </c>
      <c r="M980" s="362">
        <f t="shared" si="124"/>
        <v>42000</v>
      </c>
      <c r="N980" s="189"/>
      <c r="O980" s="362">
        <f t="shared" si="126"/>
        <v>42000</v>
      </c>
      <c r="P980" s="189"/>
    </row>
    <row r="981" spans="1:16">
      <c r="E981" s="361" t="s">
        <v>46</v>
      </c>
      <c r="F981" s="362">
        <f>F976-F979</f>
        <v>20575628</v>
      </c>
      <c r="G981" s="362">
        <f t="shared" ref="G981:I981" si="130">G976-G979</f>
        <v>0</v>
      </c>
      <c r="H981" s="362">
        <f t="shared" si="130"/>
        <v>-129799</v>
      </c>
      <c r="I981" s="362">
        <f t="shared" si="130"/>
        <v>-13398</v>
      </c>
      <c r="J981" s="362">
        <f>J976-J979</f>
        <v>326045</v>
      </c>
      <c r="K981" s="362">
        <f t="shared" si="123"/>
        <v>20758476</v>
      </c>
      <c r="L981" s="362">
        <f>L976-L979-L980</f>
        <v>23710995</v>
      </c>
      <c r="M981" s="362">
        <f t="shared" si="124"/>
        <v>3135367</v>
      </c>
      <c r="N981" s="189">
        <f t="shared" si="125"/>
        <v>0.15238256640331951</v>
      </c>
      <c r="O981" s="362">
        <f t="shared" si="126"/>
        <v>2952519</v>
      </c>
      <c r="P981" s="189">
        <f t="shared" si="127"/>
        <v>0.14223197309860319</v>
      </c>
    </row>
    <row r="982" spans="1:16" s="10" customFormat="1">
      <c r="A982" s="135"/>
      <c r="B982" s="135"/>
      <c r="C982" s="482"/>
      <c r="D982" s="482"/>
      <c r="E982" s="264" t="s">
        <v>718</v>
      </c>
      <c r="F982" s="129">
        <f>F992+F1019</f>
        <v>2724712</v>
      </c>
      <c r="G982" s="129">
        <f t="shared" ref="G982:I982" si="131">G992+G1019</f>
        <v>0</v>
      </c>
      <c r="H982" s="129">
        <f t="shared" si="131"/>
        <v>-42989</v>
      </c>
      <c r="I982" s="129">
        <f t="shared" si="131"/>
        <v>-64163</v>
      </c>
      <c r="J982" s="129">
        <f>J992+J1019</f>
        <v>243681</v>
      </c>
      <c r="K982" s="129">
        <f t="shared" si="123"/>
        <v>2861241</v>
      </c>
      <c r="L982" s="129">
        <f>L992+L1019+L1029</f>
        <v>3296453</v>
      </c>
      <c r="M982" s="129">
        <f t="shared" si="124"/>
        <v>571741</v>
      </c>
      <c r="N982" s="265">
        <f t="shared" si="125"/>
        <v>0.20983538810707333</v>
      </c>
      <c r="O982" s="129">
        <f t="shared" si="126"/>
        <v>435212</v>
      </c>
      <c r="P982" s="265">
        <f t="shared" si="127"/>
        <v>0.15210602672057336</v>
      </c>
    </row>
    <row r="983" spans="1:16">
      <c r="E983" s="421"/>
      <c r="F983" s="286"/>
      <c r="G983" s="286"/>
      <c r="H983" s="286"/>
      <c r="I983" s="286"/>
      <c r="J983" s="135"/>
      <c r="K983" s="286">
        <f t="shared" si="123"/>
        <v>0</v>
      </c>
      <c r="L983" s="286">
        <v>0</v>
      </c>
      <c r="M983" s="286">
        <f t="shared" si="124"/>
        <v>0</v>
      </c>
      <c r="N983" s="287"/>
      <c r="O983" s="286">
        <f t="shared" si="126"/>
        <v>0</v>
      </c>
      <c r="P983" s="287"/>
    </row>
    <row r="984" spans="1:16" ht="13.8">
      <c r="B984" s="147"/>
      <c r="C984" s="536"/>
      <c r="D984" s="536"/>
      <c r="E984" s="422" t="s">
        <v>151</v>
      </c>
      <c r="F984" s="423">
        <f>SUM(F985)</f>
        <v>3758140</v>
      </c>
      <c r="G984" s="423">
        <f t="shared" ref="G984:I984" si="132">SUM(G985)</f>
        <v>0</v>
      </c>
      <c r="H984" s="423">
        <f t="shared" si="132"/>
        <v>600000</v>
      </c>
      <c r="I984" s="423">
        <f t="shared" si="132"/>
        <v>891642</v>
      </c>
      <c r="J984" s="135"/>
      <c r="K984" s="423">
        <f t="shared" si="123"/>
        <v>5249782</v>
      </c>
      <c r="L984" s="423">
        <f>SUM(L985)</f>
        <v>5098140</v>
      </c>
      <c r="M984" s="423">
        <f t="shared" si="124"/>
        <v>1340000</v>
      </c>
      <c r="N984" s="424">
        <f t="shared" si="125"/>
        <v>0.35655936181196018</v>
      </c>
      <c r="O984" s="423">
        <f t="shared" si="126"/>
        <v>-151642</v>
      </c>
      <c r="P984" s="424">
        <f t="shared" si="127"/>
        <v>-2.8885389907619023E-2</v>
      </c>
    </row>
    <row r="985" spans="1:16">
      <c r="A985" s="77" t="s">
        <v>678</v>
      </c>
      <c r="B985" s="147" t="s">
        <v>682</v>
      </c>
      <c r="C985" s="536" t="s">
        <v>1028</v>
      </c>
      <c r="D985" s="536" t="s">
        <v>981</v>
      </c>
      <c r="E985" s="394" t="s">
        <v>152</v>
      </c>
      <c r="F985" s="395">
        <f>SUM(F987)</f>
        <v>3758140</v>
      </c>
      <c r="G985" s="395">
        <f t="shared" ref="G985:I985" si="133">SUM(G987)</f>
        <v>0</v>
      </c>
      <c r="H985" s="395">
        <f t="shared" si="133"/>
        <v>600000</v>
      </c>
      <c r="I985" s="395">
        <f t="shared" si="133"/>
        <v>891642</v>
      </c>
      <c r="J985" s="135"/>
      <c r="K985" s="395">
        <f t="shared" si="123"/>
        <v>5249782</v>
      </c>
      <c r="L985" s="395">
        <f>SUM(L987)</f>
        <v>5098140</v>
      </c>
      <c r="M985" s="395">
        <f t="shared" si="124"/>
        <v>1340000</v>
      </c>
      <c r="N985" s="370">
        <f t="shared" si="125"/>
        <v>0.35655936181196018</v>
      </c>
      <c r="O985" s="395">
        <f t="shared" si="126"/>
        <v>-151642</v>
      </c>
      <c r="P985" s="370">
        <f t="shared" si="127"/>
        <v>-2.8885389907619023E-2</v>
      </c>
    </row>
    <row r="986" spans="1:16">
      <c r="C986" s="536"/>
      <c r="D986" s="536"/>
      <c r="E986" s="425" t="s">
        <v>101</v>
      </c>
      <c r="F986" s="395"/>
      <c r="G986" s="135"/>
      <c r="H986" s="135"/>
      <c r="I986" s="136"/>
      <c r="J986" s="135"/>
      <c r="K986" s="395">
        <f t="shared" si="123"/>
        <v>0</v>
      </c>
      <c r="L986" s="395">
        <v>0</v>
      </c>
      <c r="M986" s="395">
        <f t="shared" si="124"/>
        <v>0</v>
      </c>
      <c r="N986" s="370"/>
      <c r="O986" s="395">
        <f t="shared" si="126"/>
        <v>0</v>
      </c>
      <c r="P986" s="370"/>
    </row>
    <row r="987" spans="1:16">
      <c r="C987" s="536"/>
      <c r="D987" s="536"/>
      <c r="E987" s="37" t="s">
        <v>153</v>
      </c>
      <c r="F987" s="47">
        <v>3758140</v>
      </c>
      <c r="G987" s="135"/>
      <c r="H987" s="47">
        <v>600000</v>
      </c>
      <c r="I987" s="15">
        <v>891642</v>
      </c>
      <c r="J987" s="135"/>
      <c r="K987" s="47">
        <f t="shared" si="123"/>
        <v>5249782</v>
      </c>
      <c r="L987" s="47">
        <v>5098140</v>
      </c>
      <c r="M987" s="47">
        <f t="shared" si="124"/>
        <v>1340000</v>
      </c>
      <c r="N987" s="96">
        <f t="shared" si="125"/>
        <v>0.35655936181196018</v>
      </c>
      <c r="O987" s="47">
        <f t="shared" si="126"/>
        <v>-151642</v>
      </c>
      <c r="P987" s="96">
        <f t="shared" si="127"/>
        <v>-2.8885389907619023E-2</v>
      </c>
    </row>
    <row r="988" spans="1:16">
      <c r="C988" s="536"/>
      <c r="D988" s="536"/>
      <c r="E988" s="334"/>
      <c r="F988" s="335"/>
      <c r="G988" s="135"/>
      <c r="H988" s="135"/>
      <c r="I988" s="136"/>
      <c r="J988" s="135"/>
      <c r="K988" s="335">
        <f t="shared" si="123"/>
        <v>0</v>
      </c>
      <c r="L988" s="335">
        <v>0</v>
      </c>
      <c r="M988" s="335">
        <f t="shared" si="124"/>
        <v>0</v>
      </c>
      <c r="N988" s="322"/>
      <c r="O988" s="335">
        <f t="shared" si="126"/>
        <v>0</v>
      </c>
      <c r="P988" s="322"/>
    </row>
    <row r="989" spans="1:16">
      <c r="C989" s="536"/>
      <c r="D989" s="536"/>
      <c r="E989" s="418" t="s">
        <v>102</v>
      </c>
      <c r="F989" s="419">
        <f>SUM(F991,F996,F1005,F1018,F1022,F994,F1016)</f>
        <v>23670488</v>
      </c>
      <c r="G989" s="135"/>
      <c r="H989" s="419">
        <f>SUM(H991,H996,H1005,H1018,H1022,H994,H1016)</f>
        <v>472201</v>
      </c>
      <c r="I989" s="419">
        <f>SUM(I991,I996,I1005,I1018,I1022,I994,I1016)</f>
        <v>364560</v>
      </c>
      <c r="J989" s="419">
        <f>SUM(J991,J996,J1005,J1018,J1022,J994,J1016)</f>
        <v>326045</v>
      </c>
      <c r="K989" s="419">
        <f t="shared" si="123"/>
        <v>24833294</v>
      </c>
      <c r="L989" s="419">
        <f>SUM(L991,L996,L1005,L1018,L1022,L994,L1016,L1028)</f>
        <v>28105855</v>
      </c>
      <c r="M989" s="419">
        <f t="shared" si="124"/>
        <v>4435367</v>
      </c>
      <c r="N989" s="370">
        <f t="shared" si="125"/>
        <v>0.1873796180289988</v>
      </c>
      <c r="O989" s="419">
        <f t="shared" si="126"/>
        <v>3272561</v>
      </c>
      <c r="P989" s="370">
        <f t="shared" si="127"/>
        <v>0.13178118859302354</v>
      </c>
    </row>
    <row r="990" spans="1:16">
      <c r="C990" s="536"/>
      <c r="D990" s="536"/>
      <c r="E990" s="418"/>
      <c r="F990" s="419"/>
      <c r="G990" s="135"/>
      <c r="H990" s="135"/>
      <c r="I990" s="136"/>
      <c r="J990" s="135"/>
      <c r="K990" s="419">
        <f t="shared" si="123"/>
        <v>0</v>
      </c>
      <c r="L990" s="419">
        <v>0</v>
      </c>
      <c r="M990" s="419">
        <f t="shared" si="124"/>
        <v>0</v>
      </c>
      <c r="N990" s="370"/>
      <c r="O990" s="419">
        <f t="shared" si="126"/>
        <v>0</v>
      </c>
      <c r="P990" s="370"/>
    </row>
    <row r="991" spans="1:16">
      <c r="A991" s="135" t="s">
        <v>678</v>
      </c>
      <c r="B991" s="147" t="s">
        <v>682</v>
      </c>
      <c r="C991" s="536" t="s">
        <v>1028</v>
      </c>
      <c r="D991" s="536" t="s">
        <v>966</v>
      </c>
      <c r="E991" s="288" t="s">
        <v>38</v>
      </c>
      <c r="F991" s="289">
        <v>4101388</v>
      </c>
      <c r="G991" s="135"/>
      <c r="H991" s="289">
        <v>-57519</v>
      </c>
      <c r="I991" s="289">
        <v>-85440</v>
      </c>
      <c r="J991" s="289">
        <v>326045</v>
      </c>
      <c r="K991" s="289">
        <f t="shared" si="123"/>
        <v>4284474</v>
      </c>
      <c r="L991" s="289">
        <v>4822860</v>
      </c>
      <c r="M991" s="289">
        <f t="shared" si="124"/>
        <v>721472</v>
      </c>
      <c r="N991" s="282">
        <f t="shared" si="125"/>
        <v>0.17590922877815998</v>
      </c>
      <c r="O991" s="289">
        <f t="shared" si="126"/>
        <v>538386</v>
      </c>
      <c r="P991" s="282">
        <f t="shared" si="127"/>
        <v>0.12565976593626196</v>
      </c>
    </row>
    <row r="992" spans="1:16">
      <c r="C992" s="536"/>
      <c r="D992" s="536"/>
      <c r="E992" s="294" t="s">
        <v>47</v>
      </c>
      <c r="F992" s="125">
        <v>2709712</v>
      </c>
      <c r="G992" s="135"/>
      <c r="H992" s="125">
        <v>-42989</v>
      </c>
      <c r="I992" s="125">
        <v>-64163</v>
      </c>
      <c r="J992" s="125">
        <v>243681</v>
      </c>
      <c r="K992" s="125">
        <f t="shared" si="123"/>
        <v>2846241</v>
      </c>
      <c r="L992" s="125">
        <v>3251629</v>
      </c>
      <c r="M992" s="125">
        <f t="shared" si="124"/>
        <v>541917</v>
      </c>
      <c r="N992" s="284">
        <f t="shared" si="125"/>
        <v>0.19999062631010234</v>
      </c>
      <c r="O992" s="125">
        <f t="shared" si="126"/>
        <v>405388</v>
      </c>
      <c r="P992" s="284">
        <f t="shared" si="127"/>
        <v>0.14242926020670774</v>
      </c>
    </row>
    <row r="993" spans="1:16" s="10" customFormat="1">
      <c r="A993" s="135"/>
      <c r="B993" s="135"/>
      <c r="C993" s="536"/>
      <c r="D993" s="536"/>
      <c r="E993" s="294"/>
      <c r="F993" s="125"/>
      <c r="G993" s="135"/>
      <c r="H993" s="135"/>
      <c r="I993" s="136"/>
      <c r="J993" s="135"/>
      <c r="K993" s="125">
        <f t="shared" si="123"/>
        <v>0</v>
      </c>
      <c r="L993" s="125">
        <v>0</v>
      </c>
      <c r="M993" s="125">
        <f t="shared" si="124"/>
        <v>0</v>
      </c>
      <c r="N993" s="284"/>
      <c r="O993" s="125">
        <f t="shared" si="126"/>
        <v>0</v>
      </c>
      <c r="P993" s="284"/>
    </row>
    <row r="994" spans="1:16" s="147" customFormat="1">
      <c r="A994" s="147" t="s">
        <v>670</v>
      </c>
      <c r="B994" s="147" t="s">
        <v>682</v>
      </c>
      <c r="C994" s="536" t="s">
        <v>1028</v>
      </c>
      <c r="D994" s="536" t="s">
        <v>966</v>
      </c>
      <c r="E994" s="288" t="s">
        <v>258</v>
      </c>
      <c r="F994" s="289">
        <v>50000</v>
      </c>
      <c r="I994" s="309"/>
      <c r="K994" s="289">
        <f t="shared" si="123"/>
        <v>50000</v>
      </c>
      <c r="L994" s="289">
        <v>75000</v>
      </c>
      <c r="M994" s="289">
        <f t="shared" si="124"/>
        <v>25000</v>
      </c>
      <c r="N994" s="282">
        <f t="shared" si="125"/>
        <v>0.5</v>
      </c>
      <c r="O994" s="289">
        <f t="shared" si="126"/>
        <v>25000</v>
      </c>
      <c r="P994" s="282">
        <f t="shared" si="127"/>
        <v>0.5</v>
      </c>
    </row>
    <row r="995" spans="1:16" s="147" customFormat="1">
      <c r="C995" s="536"/>
      <c r="D995" s="536"/>
      <c r="E995" s="418"/>
      <c r="F995" s="419"/>
      <c r="I995" s="309"/>
      <c r="K995" s="419">
        <f t="shared" si="123"/>
        <v>0</v>
      </c>
      <c r="L995" s="419">
        <v>0</v>
      </c>
      <c r="M995" s="419">
        <f t="shared" si="124"/>
        <v>0</v>
      </c>
      <c r="N995" s="370"/>
      <c r="O995" s="419">
        <f t="shared" si="126"/>
        <v>0</v>
      </c>
      <c r="P995" s="370"/>
    </row>
    <row r="996" spans="1:16">
      <c r="C996" s="536"/>
      <c r="D996" s="536"/>
      <c r="E996" s="290" t="s">
        <v>259</v>
      </c>
      <c r="F996" s="291">
        <f>SUM(F997:F1003)</f>
        <v>12524100</v>
      </c>
      <c r="G996" s="135"/>
      <c r="H996" s="291">
        <f>SUM(H997:H1003)</f>
        <v>177000</v>
      </c>
      <c r="I996" s="291">
        <f>SUM(I997:I1003)</f>
        <v>-23500</v>
      </c>
      <c r="J996" s="135"/>
      <c r="K996" s="291">
        <f t="shared" si="123"/>
        <v>12677600</v>
      </c>
      <c r="L996" s="291">
        <f>SUM(L997:L1003)</f>
        <v>14069600</v>
      </c>
      <c r="M996" s="291">
        <f t="shared" si="124"/>
        <v>1545500</v>
      </c>
      <c r="N996" s="282">
        <f t="shared" si="125"/>
        <v>0.12340208078824028</v>
      </c>
      <c r="O996" s="291">
        <f t="shared" si="126"/>
        <v>1392000</v>
      </c>
      <c r="P996" s="282">
        <f t="shared" si="127"/>
        <v>0.10979996213794409</v>
      </c>
    </row>
    <row r="997" spans="1:16">
      <c r="A997" s="77" t="s">
        <v>678</v>
      </c>
      <c r="B997" s="77" t="s">
        <v>682</v>
      </c>
      <c r="C997" s="536" t="s">
        <v>1028</v>
      </c>
      <c r="D997" s="536" t="s">
        <v>966</v>
      </c>
      <c r="E997" s="408" t="s">
        <v>530</v>
      </c>
      <c r="F997" s="304">
        <v>800000</v>
      </c>
      <c r="G997" s="135"/>
      <c r="H997" s="135"/>
      <c r="I997" s="136"/>
      <c r="J997" s="135"/>
      <c r="K997" s="304">
        <f t="shared" si="123"/>
        <v>800000</v>
      </c>
      <c r="L997" s="304">
        <v>720000</v>
      </c>
      <c r="M997" s="304">
        <f t="shared" si="124"/>
        <v>-80000</v>
      </c>
      <c r="N997" s="305">
        <f t="shared" si="125"/>
        <v>-0.1</v>
      </c>
      <c r="O997" s="304">
        <f t="shared" si="126"/>
        <v>-80000</v>
      </c>
      <c r="P997" s="305">
        <f t="shared" si="127"/>
        <v>-0.1</v>
      </c>
    </row>
    <row r="998" spans="1:16">
      <c r="A998" s="77" t="s">
        <v>678</v>
      </c>
      <c r="B998" s="77" t="s">
        <v>682</v>
      </c>
      <c r="C998" s="536" t="s">
        <v>1028</v>
      </c>
      <c r="D998" s="536" t="s">
        <v>981</v>
      </c>
      <c r="E998" s="183" t="s">
        <v>260</v>
      </c>
      <c r="F998" s="304">
        <v>2537000</v>
      </c>
      <c r="G998" s="135"/>
      <c r="H998" s="304">
        <v>42000</v>
      </c>
      <c r="I998" s="304"/>
      <c r="J998" s="135"/>
      <c r="K998" s="304">
        <f t="shared" si="123"/>
        <v>2579000</v>
      </c>
      <c r="L998" s="304">
        <v>2901000</v>
      </c>
      <c r="M998" s="304">
        <f t="shared" si="124"/>
        <v>364000</v>
      </c>
      <c r="N998" s="305">
        <f t="shared" si="125"/>
        <v>0.14347654710287741</v>
      </c>
      <c r="O998" s="304">
        <f t="shared" si="126"/>
        <v>322000</v>
      </c>
      <c r="P998" s="305">
        <f t="shared" si="127"/>
        <v>0.12485459480418767</v>
      </c>
    </row>
    <row r="999" spans="1:16">
      <c r="A999" s="77" t="s">
        <v>678</v>
      </c>
      <c r="B999" s="77" t="s">
        <v>682</v>
      </c>
      <c r="C999" s="536" t="s">
        <v>1028</v>
      </c>
      <c r="D999" s="536" t="s">
        <v>981</v>
      </c>
      <c r="E999" s="183" t="s">
        <v>261</v>
      </c>
      <c r="F999" s="304">
        <v>9050000</v>
      </c>
      <c r="G999" s="135"/>
      <c r="H999" s="304">
        <v>135000</v>
      </c>
      <c r="I999" s="304"/>
      <c r="J999" s="135"/>
      <c r="K999" s="304">
        <f t="shared" si="123"/>
        <v>9185000</v>
      </c>
      <c r="L999" s="304">
        <v>10335000</v>
      </c>
      <c r="M999" s="304">
        <f t="shared" si="124"/>
        <v>1285000</v>
      </c>
      <c r="N999" s="305">
        <f t="shared" si="125"/>
        <v>0.14198895027624309</v>
      </c>
      <c r="O999" s="304">
        <f t="shared" si="126"/>
        <v>1150000</v>
      </c>
      <c r="P999" s="305">
        <f t="shared" si="127"/>
        <v>0.12520413718018508</v>
      </c>
    </row>
    <row r="1000" spans="1:16">
      <c r="A1000" s="77" t="s">
        <v>678</v>
      </c>
      <c r="B1000" s="77" t="s">
        <v>682</v>
      </c>
      <c r="C1000" s="536" t="s">
        <v>1028</v>
      </c>
      <c r="D1000" s="536" t="s">
        <v>966</v>
      </c>
      <c r="E1000" s="183" t="s">
        <v>262</v>
      </c>
      <c r="F1000" s="304">
        <v>70000</v>
      </c>
      <c r="G1000" s="135"/>
      <c r="H1000" s="135"/>
      <c r="I1000" s="136"/>
      <c r="J1000" s="135"/>
      <c r="K1000" s="304">
        <f t="shared" si="123"/>
        <v>70000</v>
      </c>
      <c r="L1000" s="304">
        <v>70000</v>
      </c>
      <c r="M1000" s="304">
        <f t="shared" si="124"/>
        <v>0</v>
      </c>
      <c r="N1000" s="305">
        <f t="shared" si="125"/>
        <v>0</v>
      </c>
      <c r="O1000" s="304">
        <f t="shared" si="126"/>
        <v>0</v>
      </c>
      <c r="P1000" s="305">
        <f t="shared" si="127"/>
        <v>0</v>
      </c>
    </row>
    <row r="1001" spans="1:16">
      <c r="A1001" s="77" t="s">
        <v>678</v>
      </c>
      <c r="B1001" s="77" t="s">
        <v>682</v>
      </c>
      <c r="C1001" s="536" t="s">
        <v>1028</v>
      </c>
      <c r="D1001" s="536" t="s">
        <v>966</v>
      </c>
      <c r="E1001" s="183" t="s">
        <v>414</v>
      </c>
      <c r="F1001" s="304">
        <v>31000</v>
      </c>
      <c r="G1001" s="135"/>
      <c r="H1001" s="135"/>
      <c r="I1001" s="136"/>
      <c r="J1001" s="135"/>
      <c r="K1001" s="304">
        <f t="shared" si="123"/>
        <v>31000</v>
      </c>
      <c r="L1001" s="304">
        <v>31000</v>
      </c>
      <c r="M1001" s="304">
        <f t="shared" si="124"/>
        <v>0</v>
      </c>
      <c r="N1001" s="305">
        <f t="shared" si="125"/>
        <v>0</v>
      </c>
      <c r="O1001" s="304">
        <f t="shared" si="126"/>
        <v>0</v>
      </c>
      <c r="P1001" s="305">
        <f t="shared" si="127"/>
        <v>0</v>
      </c>
    </row>
    <row r="1002" spans="1:16">
      <c r="A1002" s="77" t="s">
        <v>678</v>
      </c>
      <c r="B1002" s="77" t="s">
        <v>682</v>
      </c>
      <c r="C1002" s="536" t="s">
        <v>1028</v>
      </c>
      <c r="D1002" s="536" t="s">
        <v>981</v>
      </c>
      <c r="E1002" s="183" t="s">
        <v>263</v>
      </c>
      <c r="F1002" s="304">
        <v>3000</v>
      </c>
      <c r="G1002" s="135"/>
      <c r="H1002" s="135"/>
      <c r="I1002" s="136"/>
      <c r="J1002" s="135"/>
      <c r="K1002" s="304">
        <f t="shared" si="123"/>
        <v>3000</v>
      </c>
      <c r="L1002" s="304">
        <v>3000</v>
      </c>
      <c r="M1002" s="304">
        <f t="shared" si="124"/>
        <v>0</v>
      </c>
      <c r="N1002" s="305">
        <f t="shared" si="125"/>
        <v>0</v>
      </c>
      <c r="O1002" s="304">
        <f t="shared" si="126"/>
        <v>0</v>
      </c>
      <c r="P1002" s="305">
        <f t="shared" si="127"/>
        <v>0</v>
      </c>
    </row>
    <row r="1003" spans="1:16">
      <c r="A1003" s="77" t="s">
        <v>678</v>
      </c>
      <c r="B1003" s="77" t="s">
        <v>682</v>
      </c>
      <c r="C1003" s="482" t="s">
        <v>1028</v>
      </c>
      <c r="D1003" s="482" t="s">
        <v>981</v>
      </c>
      <c r="E1003" s="183" t="s">
        <v>415</v>
      </c>
      <c r="F1003" s="304">
        <v>33100</v>
      </c>
      <c r="G1003" s="135"/>
      <c r="H1003" s="135"/>
      <c r="I1003" s="304">
        <v>-23500</v>
      </c>
      <c r="J1003" s="135"/>
      <c r="K1003" s="304">
        <f t="shared" si="123"/>
        <v>9600</v>
      </c>
      <c r="L1003" s="304">
        <v>9600</v>
      </c>
      <c r="M1003" s="304">
        <f t="shared" si="124"/>
        <v>-23500</v>
      </c>
      <c r="N1003" s="305">
        <f t="shared" si="125"/>
        <v>-0.70996978851963743</v>
      </c>
      <c r="O1003" s="304">
        <f t="shared" si="126"/>
        <v>0</v>
      </c>
      <c r="P1003" s="305">
        <f t="shared" si="127"/>
        <v>0</v>
      </c>
    </row>
    <row r="1004" spans="1:16">
      <c r="E1004" s="426"/>
      <c r="F1004" s="427"/>
      <c r="G1004" s="135"/>
      <c r="H1004" s="135"/>
      <c r="I1004" s="136"/>
      <c r="J1004" s="135"/>
      <c r="K1004" s="427">
        <f t="shared" si="123"/>
        <v>0</v>
      </c>
      <c r="L1004" s="427">
        <v>0</v>
      </c>
      <c r="M1004" s="427">
        <f t="shared" si="124"/>
        <v>0</v>
      </c>
      <c r="N1004" s="370"/>
      <c r="O1004" s="427">
        <f t="shared" si="126"/>
        <v>0</v>
      </c>
      <c r="P1004" s="370"/>
    </row>
    <row r="1005" spans="1:16">
      <c r="E1005" s="290" t="s">
        <v>388</v>
      </c>
      <c r="F1005" s="291">
        <f>SUM(F1006:F1012)</f>
        <v>2250000</v>
      </c>
      <c r="G1005" s="135"/>
      <c r="H1005" s="135"/>
      <c r="I1005" s="291">
        <f>SUM(I1006:I1012)</f>
        <v>23500</v>
      </c>
      <c r="J1005" s="135"/>
      <c r="K1005" s="291">
        <f t="shared" si="123"/>
        <v>2273500</v>
      </c>
      <c r="L1005" s="291">
        <f>SUM(L1006:L1012)</f>
        <v>2025000</v>
      </c>
      <c r="M1005" s="291">
        <f t="shared" si="124"/>
        <v>-225000</v>
      </c>
      <c r="N1005" s="282">
        <f t="shared" si="125"/>
        <v>-0.1</v>
      </c>
      <c r="O1005" s="291">
        <f t="shared" si="126"/>
        <v>-248500</v>
      </c>
      <c r="P1005" s="282">
        <f t="shared" si="127"/>
        <v>-0.10930283703540797</v>
      </c>
    </row>
    <row r="1006" spans="1:16">
      <c r="A1006" s="77" t="s">
        <v>679</v>
      </c>
      <c r="B1006" s="77" t="s">
        <v>682</v>
      </c>
      <c r="C1006" s="482" t="s">
        <v>1028</v>
      </c>
      <c r="D1006" s="482" t="s">
        <v>1009</v>
      </c>
      <c r="E1006" s="297" t="s">
        <v>916</v>
      </c>
      <c r="F1006" s="298">
        <v>760000</v>
      </c>
      <c r="G1006" s="135"/>
      <c r="H1006" s="135"/>
      <c r="I1006" s="136"/>
      <c r="J1006" s="135"/>
      <c r="K1006" s="298">
        <f t="shared" si="123"/>
        <v>760000</v>
      </c>
      <c r="L1006" s="298">
        <v>684000</v>
      </c>
      <c r="M1006" s="298">
        <f t="shared" si="124"/>
        <v>-76000</v>
      </c>
      <c r="N1006" s="299">
        <f t="shared" si="125"/>
        <v>-0.1</v>
      </c>
      <c r="O1006" s="298">
        <f t="shared" si="126"/>
        <v>-76000</v>
      </c>
      <c r="P1006" s="299">
        <f t="shared" si="127"/>
        <v>-0.1</v>
      </c>
    </row>
    <row r="1007" spans="1:16">
      <c r="A1007" s="135" t="s">
        <v>678</v>
      </c>
      <c r="B1007" s="135" t="s">
        <v>682</v>
      </c>
      <c r="C1007" s="482" t="s">
        <v>1028</v>
      </c>
      <c r="D1007" s="482" t="s">
        <v>1009</v>
      </c>
      <c r="E1007" s="297" t="s">
        <v>917</v>
      </c>
      <c r="F1007" s="298">
        <v>44000</v>
      </c>
      <c r="G1007" s="135"/>
      <c r="H1007" s="135"/>
      <c r="I1007" s="298">
        <f>23500+14150+10000</f>
        <v>47650</v>
      </c>
      <c r="J1007" s="135"/>
      <c r="K1007" s="298">
        <f t="shared" si="123"/>
        <v>91650</v>
      </c>
      <c r="L1007" s="298">
        <v>39600</v>
      </c>
      <c r="M1007" s="298">
        <f t="shared" si="124"/>
        <v>-4400</v>
      </c>
      <c r="N1007" s="299">
        <f t="shared" si="125"/>
        <v>-0.1</v>
      </c>
      <c r="O1007" s="298">
        <f t="shared" si="126"/>
        <v>-52050</v>
      </c>
      <c r="P1007" s="299">
        <f t="shared" si="127"/>
        <v>-0.56792144026186575</v>
      </c>
    </row>
    <row r="1008" spans="1:16">
      <c r="A1008" s="135" t="s">
        <v>679</v>
      </c>
      <c r="B1008" s="135" t="s">
        <v>682</v>
      </c>
      <c r="C1008" s="482" t="s">
        <v>1028</v>
      </c>
      <c r="D1008" s="482" t="s">
        <v>1009</v>
      </c>
      <c r="E1008" s="297" t="s">
        <v>918</v>
      </c>
      <c r="F1008" s="298">
        <v>400000</v>
      </c>
      <c r="G1008" s="135"/>
      <c r="H1008" s="135"/>
      <c r="I1008" s="136"/>
      <c r="J1008" s="135"/>
      <c r="K1008" s="298">
        <f t="shared" si="123"/>
        <v>400000</v>
      </c>
      <c r="L1008" s="298">
        <v>360000</v>
      </c>
      <c r="M1008" s="298">
        <f t="shared" si="124"/>
        <v>-40000</v>
      </c>
      <c r="N1008" s="299">
        <f t="shared" si="125"/>
        <v>-0.1</v>
      </c>
      <c r="O1008" s="298">
        <f t="shared" si="126"/>
        <v>-40000</v>
      </c>
      <c r="P1008" s="299">
        <f t="shared" si="127"/>
        <v>-0.1</v>
      </c>
    </row>
    <row r="1009" spans="1:16">
      <c r="A1009" s="135" t="s">
        <v>678</v>
      </c>
      <c r="B1009" s="135" t="s">
        <v>682</v>
      </c>
      <c r="C1009" s="482" t="s">
        <v>1028</v>
      </c>
      <c r="D1009" s="482" t="s">
        <v>1009</v>
      </c>
      <c r="E1009" s="297" t="s">
        <v>919</v>
      </c>
      <c r="F1009" s="298">
        <v>160000</v>
      </c>
      <c r="G1009" s="135"/>
      <c r="H1009" s="135"/>
      <c r="I1009" s="298">
        <f>-14150+2140</f>
        <v>-12010</v>
      </c>
      <c r="J1009" s="135"/>
      <c r="K1009" s="298">
        <f t="shared" si="123"/>
        <v>147990</v>
      </c>
      <c r="L1009" s="298">
        <v>144000</v>
      </c>
      <c r="M1009" s="298">
        <f t="shared" si="124"/>
        <v>-16000</v>
      </c>
      <c r="N1009" s="299">
        <f t="shared" si="125"/>
        <v>-0.1</v>
      </c>
      <c r="O1009" s="298">
        <f t="shared" si="126"/>
        <v>-3990</v>
      </c>
      <c r="P1009" s="299">
        <f t="shared" si="127"/>
        <v>-2.6961281167646463E-2</v>
      </c>
    </row>
    <row r="1010" spans="1:16">
      <c r="A1010" s="77" t="s">
        <v>678</v>
      </c>
      <c r="B1010" s="77" t="s">
        <v>682</v>
      </c>
      <c r="C1010" s="482" t="s">
        <v>1028</v>
      </c>
      <c r="D1010" s="482" t="s">
        <v>1009</v>
      </c>
      <c r="E1010" s="183" t="s">
        <v>389</v>
      </c>
      <c r="F1010" s="304">
        <v>4000</v>
      </c>
      <c r="G1010" s="135"/>
      <c r="H1010" s="135"/>
      <c r="I1010" s="136"/>
      <c r="J1010" s="135"/>
      <c r="K1010" s="304">
        <f t="shared" si="123"/>
        <v>4000</v>
      </c>
      <c r="L1010" s="304">
        <v>3600</v>
      </c>
      <c r="M1010" s="304">
        <f t="shared" si="124"/>
        <v>-400</v>
      </c>
      <c r="N1010" s="305">
        <f t="shared" si="125"/>
        <v>-0.1</v>
      </c>
      <c r="O1010" s="304">
        <f t="shared" si="126"/>
        <v>-400</v>
      </c>
      <c r="P1010" s="305">
        <f t="shared" si="127"/>
        <v>-0.1</v>
      </c>
    </row>
    <row r="1011" spans="1:16">
      <c r="A1011" s="77" t="s">
        <v>679</v>
      </c>
      <c r="B1011" s="77" t="s">
        <v>682</v>
      </c>
      <c r="C1011" s="482" t="s">
        <v>1028</v>
      </c>
      <c r="D1011" s="482" t="s">
        <v>1009</v>
      </c>
      <c r="E1011" s="183" t="s">
        <v>920</v>
      </c>
      <c r="F1011" s="304">
        <f>282000+250000</f>
        <v>532000</v>
      </c>
      <c r="G1011" s="135"/>
      <c r="H1011" s="135"/>
      <c r="I1011" s="298">
        <v>-12140</v>
      </c>
      <c r="J1011" s="135"/>
      <c r="K1011" s="304">
        <f t="shared" si="123"/>
        <v>519860</v>
      </c>
      <c r="L1011" s="304">
        <v>478800</v>
      </c>
      <c r="M1011" s="304">
        <f t="shared" si="124"/>
        <v>-53200</v>
      </c>
      <c r="N1011" s="305">
        <f t="shared" si="125"/>
        <v>-0.1</v>
      </c>
      <c r="O1011" s="304">
        <f t="shared" si="126"/>
        <v>-41060</v>
      </c>
      <c r="P1011" s="305">
        <f t="shared" si="127"/>
        <v>-7.8982803062362938E-2</v>
      </c>
    </row>
    <row r="1012" spans="1:16">
      <c r="A1012" s="135" t="s">
        <v>679</v>
      </c>
      <c r="B1012" s="135" t="s">
        <v>682</v>
      </c>
      <c r="C1012" s="482" t="s">
        <v>1028</v>
      </c>
      <c r="D1012" s="482" t="s">
        <v>1009</v>
      </c>
      <c r="E1012" s="183" t="s">
        <v>921</v>
      </c>
      <c r="F1012" s="304">
        <f>100000+250000</f>
        <v>350000</v>
      </c>
      <c r="G1012" s="135"/>
      <c r="H1012" s="135"/>
      <c r="I1012" s="136"/>
      <c r="J1012" s="135"/>
      <c r="K1012" s="304">
        <f t="shared" si="123"/>
        <v>350000</v>
      </c>
      <c r="L1012" s="304">
        <v>315000</v>
      </c>
      <c r="M1012" s="304">
        <f t="shared" si="124"/>
        <v>-35000</v>
      </c>
      <c r="N1012" s="305">
        <f t="shared" si="125"/>
        <v>-0.1</v>
      </c>
      <c r="O1012" s="304">
        <f t="shared" si="126"/>
        <v>-35000</v>
      </c>
      <c r="P1012" s="305">
        <f t="shared" si="127"/>
        <v>-0.1</v>
      </c>
    </row>
    <row r="1013" spans="1:16">
      <c r="E1013" s="426"/>
      <c r="F1013" s="427"/>
      <c r="G1013" s="135"/>
      <c r="H1013" s="135"/>
      <c r="I1013" s="136"/>
      <c r="J1013" s="135"/>
      <c r="K1013" s="427">
        <f t="shared" si="123"/>
        <v>0</v>
      </c>
      <c r="L1013" s="427">
        <v>0</v>
      </c>
      <c r="M1013" s="427">
        <f t="shared" si="124"/>
        <v>0</v>
      </c>
      <c r="N1013" s="370"/>
      <c r="O1013" s="427">
        <f t="shared" si="126"/>
        <v>0</v>
      </c>
      <c r="P1013" s="370"/>
    </row>
    <row r="1014" spans="1:16">
      <c r="E1014" s="391" t="s">
        <v>922</v>
      </c>
      <c r="F1014" s="298"/>
      <c r="G1014" s="135"/>
      <c r="H1014" s="135"/>
      <c r="I1014" s="136"/>
      <c r="J1014" s="135"/>
      <c r="K1014" s="298">
        <f t="shared" si="123"/>
        <v>0</v>
      </c>
      <c r="L1014" s="298">
        <v>0</v>
      </c>
      <c r="M1014" s="298">
        <f t="shared" si="124"/>
        <v>0</v>
      </c>
      <c r="N1014" s="299"/>
      <c r="O1014" s="298">
        <f t="shared" si="126"/>
        <v>0</v>
      </c>
      <c r="P1014" s="299"/>
    </row>
    <row r="1015" spans="1:16">
      <c r="E1015" s="303"/>
      <c r="F1015" s="304"/>
      <c r="G1015" s="135"/>
      <c r="H1015" s="135"/>
      <c r="I1015" s="136"/>
      <c r="J1015" s="135"/>
      <c r="K1015" s="304">
        <f t="shared" si="123"/>
        <v>0</v>
      </c>
      <c r="L1015" s="304">
        <v>0</v>
      </c>
      <c r="M1015" s="304">
        <f t="shared" si="124"/>
        <v>0</v>
      </c>
      <c r="N1015" s="305"/>
      <c r="O1015" s="304">
        <f t="shared" si="126"/>
        <v>0</v>
      </c>
      <c r="P1015" s="305"/>
    </row>
    <row r="1016" spans="1:16">
      <c r="A1016" s="77" t="s">
        <v>672</v>
      </c>
      <c r="B1016" s="77" t="s">
        <v>682</v>
      </c>
      <c r="C1016" s="563"/>
      <c r="D1016" s="563"/>
      <c r="E1016" s="288" t="s">
        <v>923</v>
      </c>
      <c r="F1016" s="289">
        <f>800000-360000</f>
        <v>440000</v>
      </c>
      <c r="G1016" s="135"/>
      <c r="H1016" s="289">
        <v>-440000</v>
      </c>
      <c r="I1016" s="289"/>
      <c r="J1016" s="135"/>
      <c r="K1016" s="289">
        <f t="shared" si="123"/>
        <v>0</v>
      </c>
      <c r="L1016" s="289">
        <v>0</v>
      </c>
      <c r="M1016" s="289">
        <f t="shared" si="124"/>
        <v>-440000</v>
      </c>
      <c r="N1016" s="282">
        <f t="shared" si="125"/>
        <v>-1</v>
      </c>
      <c r="O1016" s="289">
        <f t="shared" si="126"/>
        <v>0</v>
      </c>
      <c r="P1016" s="282"/>
    </row>
    <row r="1017" spans="1:16">
      <c r="E1017" s="426"/>
      <c r="F1017" s="427"/>
      <c r="G1017" s="135"/>
      <c r="H1017" s="135"/>
      <c r="I1017" s="136"/>
      <c r="J1017" s="135"/>
      <c r="K1017" s="427">
        <f t="shared" si="123"/>
        <v>0</v>
      </c>
      <c r="L1017" s="427">
        <v>0</v>
      </c>
      <c r="M1017" s="427">
        <f t="shared" si="124"/>
        <v>0</v>
      </c>
      <c r="N1017" s="370"/>
      <c r="O1017" s="427">
        <f t="shared" si="126"/>
        <v>0</v>
      </c>
      <c r="P1017" s="370"/>
    </row>
    <row r="1018" spans="1:16">
      <c r="A1018" s="77" t="s">
        <v>678</v>
      </c>
      <c r="B1018" s="77" t="s">
        <v>682</v>
      </c>
      <c r="C1018" s="482" t="s">
        <v>1028</v>
      </c>
      <c r="D1018" s="482" t="s">
        <v>1009</v>
      </c>
      <c r="E1018" s="103" t="s">
        <v>416</v>
      </c>
      <c r="F1018" s="268">
        <v>152000</v>
      </c>
      <c r="G1018" s="135"/>
      <c r="H1018" s="135"/>
      <c r="I1018" s="136"/>
      <c r="J1018" s="135"/>
      <c r="K1018" s="268">
        <f t="shared" si="123"/>
        <v>152000</v>
      </c>
      <c r="L1018" s="268">
        <v>148400</v>
      </c>
      <c r="M1018" s="268">
        <f t="shared" si="124"/>
        <v>-3600</v>
      </c>
      <c r="N1018" s="157">
        <f t="shared" si="125"/>
        <v>-2.368421052631579E-2</v>
      </c>
      <c r="O1018" s="268">
        <f t="shared" si="126"/>
        <v>-3600</v>
      </c>
      <c r="P1018" s="157">
        <f t="shared" si="127"/>
        <v>-2.368421052631579E-2</v>
      </c>
    </row>
    <row r="1019" spans="1:16">
      <c r="E1019" s="130" t="s">
        <v>47</v>
      </c>
      <c r="F1019" s="124">
        <v>15000</v>
      </c>
      <c r="G1019" s="135"/>
      <c r="H1019" s="135"/>
      <c r="I1019" s="136"/>
      <c r="J1019" s="135"/>
      <c r="K1019" s="124">
        <f t="shared" si="123"/>
        <v>15000</v>
      </c>
      <c r="L1019" s="124">
        <v>15000</v>
      </c>
      <c r="M1019" s="124">
        <f t="shared" si="124"/>
        <v>0</v>
      </c>
      <c r="N1019" s="270">
        <f t="shared" si="125"/>
        <v>0</v>
      </c>
      <c r="O1019" s="124">
        <f t="shared" si="126"/>
        <v>0</v>
      </c>
      <c r="P1019" s="270">
        <f t="shared" si="127"/>
        <v>0</v>
      </c>
    </row>
    <row r="1020" spans="1:16">
      <c r="E1020" s="132" t="s">
        <v>400</v>
      </c>
      <c r="F1020" s="124">
        <v>47000</v>
      </c>
      <c r="G1020" s="135"/>
      <c r="H1020" s="135"/>
      <c r="I1020" s="136"/>
      <c r="J1020" s="135"/>
      <c r="K1020" s="124">
        <f t="shared" si="123"/>
        <v>47000</v>
      </c>
      <c r="L1020" s="124">
        <v>47000</v>
      </c>
      <c r="M1020" s="124">
        <f t="shared" si="124"/>
        <v>0</v>
      </c>
      <c r="N1020" s="270">
        <f t="shared" si="125"/>
        <v>0</v>
      </c>
      <c r="O1020" s="124">
        <f t="shared" si="126"/>
        <v>0</v>
      </c>
      <c r="P1020" s="270">
        <f t="shared" si="127"/>
        <v>0</v>
      </c>
    </row>
    <row r="1021" spans="1:16">
      <c r="E1021" s="130"/>
      <c r="F1021" s="124"/>
      <c r="G1021" s="135"/>
      <c r="H1021" s="135"/>
      <c r="I1021" s="136"/>
      <c r="J1021" s="135"/>
      <c r="K1021" s="124">
        <f t="shared" si="123"/>
        <v>0</v>
      </c>
      <c r="L1021" s="124">
        <v>0</v>
      </c>
      <c r="M1021" s="124">
        <f t="shared" si="124"/>
        <v>0</v>
      </c>
      <c r="N1021" s="270"/>
      <c r="O1021" s="124">
        <f t="shared" si="126"/>
        <v>0</v>
      </c>
      <c r="P1021" s="270"/>
    </row>
    <row r="1022" spans="1:16">
      <c r="A1022" s="77" t="s">
        <v>678</v>
      </c>
      <c r="B1022" s="77" t="s">
        <v>682</v>
      </c>
      <c r="C1022" s="482" t="s">
        <v>1028</v>
      </c>
      <c r="D1022" s="482" t="s">
        <v>966</v>
      </c>
      <c r="E1022" s="617" t="s">
        <v>154</v>
      </c>
      <c r="F1022" s="131">
        <v>4153000</v>
      </c>
      <c r="G1022" s="135"/>
      <c r="H1022" s="131">
        <f>714720+78000</f>
        <v>792720</v>
      </c>
      <c r="I1022" s="131">
        <v>450000</v>
      </c>
      <c r="J1022" s="135"/>
      <c r="K1022" s="131">
        <f t="shared" si="123"/>
        <v>5395720</v>
      </c>
      <c r="L1022" s="268">
        <v>6912495</v>
      </c>
      <c r="M1022" s="268">
        <f t="shared" si="124"/>
        <v>2759495</v>
      </c>
      <c r="N1022" s="157">
        <f t="shared" si="125"/>
        <v>0.66445822297134605</v>
      </c>
      <c r="O1022" s="268">
        <f t="shared" si="126"/>
        <v>1516775</v>
      </c>
      <c r="P1022" s="157">
        <f t="shared" si="127"/>
        <v>0.2811070626348291</v>
      </c>
    </row>
    <row r="1023" spans="1:16">
      <c r="E1023" s="528" t="s">
        <v>585</v>
      </c>
      <c r="F1023" s="124">
        <v>735000</v>
      </c>
      <c r="G1023" s="135"/>
      <c r="H1023" s="135"/>
      <c r="I1023" s="124">
        <v>90000</v>
      </c>
      <c r="J1023" s="135"/>
      <c r="K1023" s="124">
        <f t="shared" si="123"/>
        <v>825000</v>
      </c>
      <c r="L1023" s="124">
        <v>900000</v>
      </c>
      <c r="M1023" s="124">
        <f t="shared" si="124"/>
        <v>165000</v>
      </c>
      <c r="N1023" s="270">
        <f t="shared" si="125"/>
        <v>0.22448979591836735</v>
      </c>
      <c r="O1023" s="124">
        <f t="shared" si="126"/>
        <v>75000</v>
      </c>
      <c r="P1023" s="270">
        <f t="shared" si="127"/>
        <v>9.0909090909090912E-2</v>
      </c>
    </row>
    <row r="1024" spans="1:16">
      <c r="E1024" s="725" t="s">
        <v>586</v>
      </c>
      <c r="F1024" s="124">
        <v>1078000</v>
      </c>
      <c r="G1024" s="135"/>
      <c r="H1024" s="124">
        <v>680000</v>
      </c>
      <c r="I1024" s="124">
        <v>220000</v>
      </c>
      <c r="J1024" s="135"/>
      <c r="K1024" s="124">
        <f t="shared" si="123"/>
        <v>1978000</v>
      </c>
      <c r="L1024" s="124">
        <v>5008000</v>
      </c>
      <c r="M1024" s="124">
        <f t="shared" si="124"/>
        <v>3930000</v>
      </c>
      <c r="N1024" s="270">
        <f t="shared" si="125"/>
        <v>3.6456400742115029</v>
      </c>
      <c r="O1024" s="124">
        <f t="shared" si="126"/>
        <v>3030000</v>
      </c>
      <c r="P1024" s="270">
        <f t="shared" si="127"/>
        <v>1.531850353892821</v>
      </c>
    </row>
    <row r="1025" spans="1:16">
      <c r="E1025" s="725"/>
      <c r="F1025" s="124"/>
      <c r="G1025" s="135"/>
      <c r="H1025" s="135"/>
      <c r="I1025" s="136"/>
      <c r="J1025" s="135"/>
      <c r="K1025" s="124">
        <f t="shared" si="123"/>
        <v>0</v>
      </c>
      <c r="L1025" s="124">
        <v>0</v>
      </c>
      <c r="M1025" s="124">
        <f t="shared" si="124"/>
        <v>0</v>
      </c>
      <c r="N1025" s="270"/>
      <c r="O1025" s="124">
        <f t="shared" si="126"/>
        <v>0</v>
      </c>
      <c r="P1025" s="270"/>
    </row>
    <row r="1026" spans="1:16">
      <c r="A1026" s="77" t="s">
        <v>678</v>
      </c>
      <c r="B1026" s="77" t="s">
        <v>682</v>
      </c>
      <c r="C1026" s="482" t="s">
        <v>1028</v>
      </c>
      <c r="D1026" s="482" t="s">
        <v>966</v>
      </c>
      <c r="E1026" s="617" t="s">
        <v>1063</v>
      </c>
      <c r="F1026" s="124"/>
      <c r="G1026" s="135"/>
      <c r="H1026" s="135"/>
      <c r="I1026" s="136"/>
      <c r="J1026" s="135"/>
      <c r="K1026" s="124">
        <f t="shared" si="123"/>
        <v>0</v>
      </c>
      <c r="L1026" s="124">
        <v>0</v>
      </c>
      <c r="M1026" s="124">
        <f t="shared" si="124"/>
        <v>0</v>
      </c>
      <c r="N1026" s="270"/>
      <c r="O1026" s="124">
        <f t="shared" si="126"/>
        <v>0</v>
      </c>
      <c r="P1026" s="270"/>
    </row>
    <row r="1027" spans="1:16">
      <c r="E1027" s="273"/>
      <c r="F1027" s="124"/>
      <c r="G1027" s="135"/>
      <c r="H1027" s="135"/>
      <c r="I1027" s="136"/>
      <c r="J1027" s="135"/>
      <c r="K1027" s="124">
        <f t="shared" si="123"/>
        <v>0</v>
      </c>
      <c r="L1027" s="124">
        <v>0</v>
      </c>
      <c r="M1027" s="124">
        <f t="shared" si="124"/>
        <v>0</v>
      </c>
      <c r="N1027" s="270"/>
      <c r="O1027" s="124">
        <f t="shared" si="126"/>
        <v>0</v>
      </c>
      <c r="P1027" s="270"/>
    </row>
    <row r="1028" spans="1:16" ht="39.6">
      <c r="A1028" s="77" t="s">
        <v>678</v>
      </c>
      <c r="B1028" s="77" t="s">
        <v>682</v>
      </c>
      <c r="C1028" s="482" t="s">
        <v>1028</v>
      </c>
      <c r="D1028" s="482" t="s">
        <v>966</v>
      </c>
      <c r="E1028" s="555" t="s">
        <v>1184</v>
      </c>
      <c r="F1028" s="125"/>
      <c r="G1028" s="135"/>
      <c r="H1028" s="272"/>
      <c r="I1028" s="136"/>
      <c r="J1028" s="135"/>
      <c r="K1028" s="291">
        <f t="shared" si="123"/>
        <v>0</v>
      </c>
      <c r="L1028" s="291">
        <v>52500</v>
      </c>
      <c r="M1028" s="291">
        <f t="shared" si="124"/>
        <v>52500</v>
      </c>
      <c r="N1028" s="282"/>
      <c r="O1028" s="291">
        <f t="shared" si="126"/>
        <v>52500</v>
      </c>
      <c r="P1028" s="282"/>
    </row>
    <row r="1029" spans="1:16">
      <c r="E1029" s="528" t="s">
        <v>47</v>
      </c>
      <c r="F1029" s="125"/>
      <c r="G1029" s="135"/>
      <c r="H1029" s="272"/>
      <c r="I1029" s="272"/>
      <c r="J1029" s="135"/>
      <c r="K1029" s="125">
        <f t="shared" si="123"/>
        <v>0</v>
      </c>
      <c r="L1029" s="125">
        <v>29824</v>
      </c>
      <c r="M1029" s="125">
        <f t="shared" si="124"/>
        <v>29824</v>
      </c>
      <c r="N1029" s="284"/>
      <c r="O1029" s="125">
        <f t="shared" si="126"/>
        <v>29824</v>
      </c>
      <c r="P1029" s="284"/>
    </row>
    <row r="1030" spans="1:16">
      <c r="E1030" s="721"/>
      <c r="F1030" s="125"/>
      <c r="G1030" s="135"/>
      <c r="H1030" s="272"/>
      <c r="I1030" s="272"/>
      <c r="J1030" s="135"/>
      <c r="K1030" s="125">
        <f t="shared" si="123"/>
        <v>0</v>
      </c>
      <c r="L1030" s="125">
        <v>0</v>
      </c>
      <c r="M1030" s="125">
        <f t="shared" si="124"/>
        <v>0</v>
      </c>
      <c r="N1030" s="284"/>
      <c r="O1030" s="125">
        <f t="shared" si="126"/>
        <v>0</v>
      </c>
      <c r="P1030" s="284"/>
    </row>
    <row r="1031" spans="1:16">
      <c r="E1031" s="556" t="s">
        <v>224</v>
      </c>
      <c r="F1031" s="125"/>
      <c r="G1031" s="135"/>
      <c r="H1031" s="272"/>
      <c r="I1031" s="272"/>
      <c r="J1031" s="135"/>
      <c r="K1031" s="125">
        <f t="shared" si="123"/>
        <v>0</v>
      </c>
      <c r="L1031" s="125">
        <v>42000</v>
      </c>
      <c r="M1031" s="125">
        <f t="shared" si="124"/>
        <v>42000</v>
      </c>
      <c r="N1031" s="284"/>
      <c r="O1031" s="125">
        <f t="shared" si="126"/>
        <v>42000</v>
      </c>
      <c r="P1031" s="284"/>
    </row>
    <row r="1032" spans="1:16">
      <c r="E1032" s="273"/>
      <c r="F1032" s="124"/>
      <c r="G1032" s="135"/>
      <c r="H1032" s="135"/>
      <c r="I1032" s="136"/>
      <c r="J1032" s="135"/>
      <c r="K1032" s="124">
        <f t="shared" ref="K1032:K1095" si="134">F1032+G1032+H1032+J1032+I1032</f>
        <v>0</v>
      </c>
      <c r="L1032" s="124">
        <v>0</v>
      </c>
      <c r="M1032" s="124">
        <f t="shared" ref="M1032:M1095" si="135">L1032-F1032</f>
        <v>0</v>
      </c>
      <c r="N1032" s="270"/>
      <c r="O1032" s="124">
        <f t="shared" ref="O1032:O1095" si="136">L1032-K1032</f>
        <v>0</v>
      </c>
      <c r="P1032" s="270"/>
    </row>
    <row r="1033" spans="1:16">
      <c r="E1033" s="273"/>
      <c r="F1033" s="124"/>
      <c r="G1033" s="135"/>
      <c r="H1033" s="135"/>
      <c r="I1033" s="136"/>
      <c r="J1033" s="135"/>
      <c r="K1033" s="124">
        <f t="shared" si="134"/>
        <v>0</v>
      </c>
      <c r="L1033" s="124">
        <v>0</v>
      </c>
      <c r="M1033" s="124">
        <f t="shared" si="135"/>
        <v>0</v>
      </c>
      <c r="N1033" s="270"/>
      <c r="O1033" s="124">
        <f t="shared" si="136"/>
        <v>0</v>
      </c>
      <c r="P1033" s="270"/>
    </row>
    <row r="1034" spans="1:16" ht="15.6">
      <c r="E1034" s="259" t="s">
        <v>35</v>
      </c>
      <c r="F1034" s="260"/>
      <c r="G1034" s="135"/>
      <c r="H1034" s="135"/>
      <c r="I1034" s="136"/>
      <c r="J1034" s="135"/>
      <c r="K1034" s="260">
        <f t="shared" si="134"/>
        <v>0</v>
      </c>
      <c r="L1034" s="260">
        <v>0</v>
      </c>
      <c r="M1034" s="260">
        <f t="shared" si="135"/>
        <v>0</v>
      </c>
      <c r="N1034" s="275"/>
      <c r="O1034" s="260">
        <f t="shared" si="136"/>
        <v>0</v>
      </c>
      <c r="P1034" s="275"/>
    </row>
    <row r="1035" spans="1:16">
      <c r="E1035" s="273"/>
      <c r="F1035" s="131"/>
      <c r="G1035" s="135"/>
      <c r="H1035" s="135"/>
      <c r="I1035" s="136"/>
      <c r="J1035" s="135"/>
      <c r="K1035" s="131">
        <f t="shared" si="134"/>
        <v>0</v>
      </c>
      <c r="L1035" s="131">
        <v>0</v>
      </c>
      <c r="M1035" s="131">
        <f t="shared" si="135"/>
        <v>0</v>
      </c>
      <c r="N1035" s="157"/>
      <c r="O1035" s="131">
        <f t="shared" si="136"/>
        <v>0</v>
      </c>
      <c r="P1035" s="157"/>
    </row>
    <row r="1036" spans="1:16">
      <c r="E1036" s="261" t="s">
        <v>98</v>
      </c>
      <c r="F1036" s="127">
        <f>SUM(F1044,F1062)</f>
        <v>112946750</v>
      </c>
      <c r="G1036" s="127">
        <f>SUM(G1044,G1062)</f>
        <v>0</v>
      </c>
      <c r="H1036" s="127">
        <f>SUM(H1044,H1062)</f>
        <v>729862</v>
      </c>
      <c r="I1036" s="127">
        <f>SUM(I1044,I1062)</f>
        <v>16312178</v>
      </c>
      <c r="J1036" s="127">
        <f>SUM(J1044,J1062)</f>
        <v>140128</v>
      </c>
      <c r="K1036" s="127">
        <f t="shared" si="134"/>
        <v>130128918</v>
      </c>
      <c r="L1036" s="127">
        <f>SUM(L1044,L1062)</f>
        <v>129678146</v>
      </c>
      <c r="M1036" s="127">
        <f t="shared" si="135"/>
        <v>16731396</v>
      </c>
      <c r="N1036" s="160">
        <f t="shared" ref="N1036:N1094" si="137">M1036/F1036</f>
        <v>0.14813525842930408</v>
      </c>
      <c r="O1036" s="127">
        <f t="shared" si="136"/>
        <v>-450772</v>
      </c>
      <c r="P1036" s="160">
        <f t="shared" ref="P1036:P1094" si="138">O1036/K1036</f>
        <v>-3.4640417128497143E-3</v>
      </c>
    </row>
    <row r="1037" spans="1:16">
      <c r="E1037" s="262" t="s">
        <v>359</v>
      </c>
      <c r="F1037" s="128">
        <v>2600000</v>
      </c>
      <c r="G1037" s="135"/>
      <c r="H1037" s="135"/>
      <c r="I1037" s="136"/>
      <c r="J1037" s="135"/>
      <c r="K1037" s="128">
        <f t="shared" si="134"/>
        <v>2600000</v>
      </c>
      <c r="L1037" s="128">
        <v>2700000</v>
      </c>
      <c r="M1037" s="128">
        <f t="shared" si="135"/>
        <v>100000</v>
      </c>
      <c r="N1037" s="91">
        <f t="shared" si="137"/>
        <v>3.8461538461538464E-2</v>
      </c>
      <c r="O1037" s="128">
        <f t="shared" si="136"/>
        <v>100000</v>
      </c>
      <c r="P1037" s="91">
        <f t="shared" si="138"/>
        <v>3.8461538461538464E-2</v>
      </c>
    </row>
    <row r="1038" spans="1:16">
      <c r="E1038" s="261" t="s">
        <v>44</v>
      </c>
      <c r="F1038" s="127">
        <f>SUM(F1039:F1041)</f>
        <v>112946750</v>
      </c>
      <c r="G1038" s="127">
        <f>SUM(G1039:G1041)</f>
        <v>0</v>
      </c>
      <c r="H1038" s="127">
        <f>SUM(H1039:H1041)</f>
        <v>729862</v>
      </c>
      <c r="I1038" s="127">
        <f>SUM(I1039:I1041)</f>
        <v>16312178</v>
      </c>
      <c r="J1038" s="127">
        <f>SUM(J1039:J1041)</f>
        <v>140128</v>
      </c>
      <c r="K1038" s="127">
        <f t="shared" si="134"/>
        <v>130128918</v>
      </c>
      <c r="L1038" s="127">
        <f>SUM(L1039:L1041)</f>
        <v>129678146</v>
      </c>
      <c r="M1038" s="127">
        <f t="shared" si="135"/>
        <v>16731396</v>
      </c>
      <c r="N1038" s="160">
        <f t="shared" si="137"/>
        <v>0.14813525842930408</v>
      </c>
      <c r="O1038" s="127">
        <f t="shared" si="136"/>
        <v>-450772</v>
      </c>
      <c r="P1038" s="160">
        <f t="shared" si="138"/>
        <v>-3.4640417128497143E-3</v>
      </c>
    </row>
    <row r="1039" spans="1:16">
      <c r="E1039" s="262" t="s">
        <v>45</v>
      </c>
      <c r="F1039" s="128">
        <v>1367700</v>
      </c>
      <c r="G1039" s="135"/>
      <c r="H1039" s="135"/>
      <c r="I1039" s="138">
        <v>14700</v>
      </c>
      <c r="J1039" s="135"/>
      <c r="K1039" s="128">
        <f t="shared" si="134"/>
        <v>1382400</v>
      </c>
      <c r="L1039" s="128">
        <v>1378400</v>
      </c>
      <c r="M1039" s="128">
        <f t="shared" si="135"/>
        <v>10700</v>
      </c>
      <c r="N1039" s="91">
        <f t="shared" si="137"/>
        <v>7.8233530745046437E-3</v>
      </c>
      <c r="O1039" s="128">
        <f t="shared" si="136"/>
        <v>-4000</v>
      </c>
      <c r="P1039" s="91">
        <f t="shared" si="138"/>
        <v>-2.8935185185185184E-3</v>
      </c>
    </row>
    <row r="1040" spans="1:16">
      <c r="E1040" s="263" t="s">
        <v>33</v>
      </c>
      <c r="F1040" s="128">
        <v>2152276</v>
      </c>
      <c r="G1040" s="135"/>
      <c r="H1040" s="138">
        <v>363569</v>
      </c>
      <c r="I1040" s="138">
        <v>601291</v>
      </c>
      <c r="J1040" s="135"/>
      <c r="K1040" s="128">
        <f t="shared" si="134"/>
        <v>3117136</v>
      </c>
      <c r="L1040" s="128">
        <v>392127</v>
      </c>
      <c r="M1040" s="128">
        <f t="shared" si="135"/>
        <v>-1760149</v>
      </c>
      <c r="N1040" s="91">
        <f t="shared" si="137"/>
        <v>-0.81780821790513858</v>
      </c>
      <c r="O1040" s="128">
        <f t="shared" si="136"/>
        <v>-2725009</v>
      </c>
      <c r="P1040" s="91">
        <f t="shared" si="138"/>
        <v>-0.87420279384665922</v>
      </c>
    </row>
    <row r="1041" spans="1:16">
      <c r="E1041" s="263" t="s">
        <v>46</v>
      </c>
      <c r="F1041" s="128">
        <f>F1036-F1039-F1040</f>
        <v>109426774</v>
      </c>
      <c r="G1041" s="128">
        <f>G1036-G1039-G1040</f>
        <v>0</v>
      </c>
      <c r="H1041" s="128">
        <f>H1036-H1039-H1040</f>
        <v>366293</v>
      </c>
      <c r="I1041" s="128">
        <f>I1036-I1039-I1040</f>
        <v>15696187</v>
      </c>
      <c r="J1041" s="128">
        <f>J1036-J1039-J1040</f>
        <v>140128</v>
      </c>
      <c r="K1041" s="128">
        <f t="shared" si="134"/>
        <v>125629382</v>
      </c>
      <c r="L1041" s="128">
        <f>L1036-L1039-L1040</f>
        <v>127907619</v>
      </c>
      <c r="M1041" s="128">
        <f t="shared" si="135"/>
        <v>18480845</v>
      </c>
      <c r="N1041" s="91">
        <f t="shared" si="137"/>
        <v>0.16888778060842768</v>
      </c>
      <c r="O1041" s="128">
        <f t="shared" si="136"/>
        <v>2278237</v>
      </c>
      <c r="P1041" s="91">
        <f t="shared" si="138"/>
        <v>1.8134587337220204E-2</v>
      </c>
    </row>
    <row r="1042" spans="1:16" s="10" customFormat="1">
      <c r="A1042" s="135"/>
      <c r="B1042" s="135"/>
      <c r="C1042" s="482"/>
      <c r="D1042" s="482"/>
      <c r="E1042" s="264" t="s">
        <v>718</v>
      </c>
      <c r="F1042" s="129">
        <f>F1065+F1087+F1092+F1106</f>
        <v>1378595</v>
      </c>
      <c r="G1042" s="135"/>
      <c r="H1042" s="129">
        <f>H1065+H1087+H1092+H1106+H1097+H1111</f>
        <v>333</v>
      </c>
      <c r="I1042" s="129">
        <f>I1065+I1087+I1092+I1106+I1097+I1111</f>
        <v>-38218</v>
      </c>
      <c r="J1042" s="129">
        <f>J1065+J1087+J1092+J1106</f>
        <v>104729</v>
      </c>
      <c r="K1042" s="129">
        <f t="shared" si="134"/>
        <v>1445439</v>
      </c>
      <c r="L1042" s="129">
        <f>L1065+L1087+L1092+L1106+L1111+L1115</f>
        <v>1536819</v>
      </c>
      <c r="M1042" s="129">
        <f t="shared" si="135"/>
        <v>158224</v>
      </c>
      <c r="N1042" s="265">
        <f t="shared" si="137"/>
        <v>0.11477192358887128</v>
      </c>
      <c r="O1042" s="129">
        <f t="shared" si="136"/>
        <v>91380</v>
      </c>
      <c r="P1042" s="265">
        <f t="shared" si="138"/>
        <v>6.3219547832872924E-2</v>
      </c>
    </row>
    <row r="1043" spans="1:16">
      <c r="E1043" s="428"/>
      <c r="F1043" s="128"/>
      <c r="G1043" s="135"/>
      <c r="H1043" s="135"/>
      <c r="I1043" s="136"/>
      <c r="J1043" s="135"/>
      <c r="K1043" s="128">
        <f t="shared" si="134"/>
        <v>0</v>
      </c>
      <c r="L1043" s="128">
        <v>0</v>
      </c>
      <c r="M1043" s="128">
        <f t="shared" si="135"/>
        <v>0</v>
      </c>
      <c r="N1043" s="91"/>
      <c r="O1043" s="128">
        <f t="shared" si="136"/>
        <v>0</v>
      </c>
      <c r="P1043" s="91"/>
    </row>
    <row r="1044" spans="1:16" ht="13.8">
      <c r="A1044" s="77" t="s">
        <v>683</v>
      </c>
      <c r="B1044" s="77" t="s">
        <v>684</v>
      </c>
      <c r="E1044" s="310" t="s">
        <v>264</v>
      </c>
      <c r="F1044" s="311">
        <f>SUM(F1045,F1054,F1060)</f>
        <v>109446997</v>
      </c>
      <c r="G1044" s="135"/>
      <c r="H1044" s="311">
        <f>SUM(H1045,H1054,H1060)</f>
        <v>266300</v>
      </c>
      <c r="I1044" s="311">
        <f>SUM(I1045,I1054,I1060)</f>
        <v>16345914</v>
      </c>
      <c r="J1044" s="135"/>
      <c r="K1044" s="311">
        <f t="shared" si="134"/>
        <v>126059211</v>
      </c>
      <c r="L1044" s="311">
        <f>SUM(L1045,L1054,L1060)</f>
        <v>125457057</v>
      </c>
      <c r="M1044" s="311">
        <f t="shared" si="135"/>
        <v>16010060</v>
      </c>
      <c r="N1044" s="313">
        <f t="shared" si="137"/>
        <v>0.14628140048465652</v>
      </c>
      <c r="O1044" s="311">
        <f t="shared" si="136"/>
        <v>-602154</v>
      </c>
      <c r="P1044" s="313">
        <f t="shared" si="138"/>
        <v>-4.7767552662216807E-3</v>
      </c>
    </row>
    <row r="1045" spans="1:16">
      <c r="C1045" s="537" t="s">
        <v>1013</v>
      </c>
      <c r="D1045" s="537" t="s">
        <v>963</v>
      </c>
      <c r="E1045" s="339" t="s">
        <v>265</v>
      </c>
      <c r="F1045" s="123">
        <f>SUM(F1047,F1052)</f>
        <v>105526610</v>
      </c>
      <c r="G1045" s="135"/>
      <c r="H1045" s="123">
        <f>SUM(H1047,H1052)</f>
        <v>176300</v>
      </c>
      <c r="I1045" s="123">
        <f>SUM(I1047,I1052)</f>
        <v>16283814</v>
      </c>
      <c r="J1045" s="135"/>
      <c r="K1045" s="123">
        <f t="shared" si="134"/>
        <v>121986724</v>
      </c>
      <c r="L1045" s="123">
        <v>121591110</v>
      </c>
      <c r="M1045" s="123">
        <f t="shared" si="135"/>
        <v>16064500</v>
      </c>
      <c r="N1045" s="160">
        <f t="shared" si="137"/>
        <v>0.1522317451493988</v>
      </c>
      <c r="O1045" s="123">
        <f t="shared" si="136"/>
        <v>-395614</v>
      </c>
      <c r="P1045" s="160">
        <f t="shared" si="138"/>
        <v>-3.2430906169756638E-3</v>
      </c>
    </row>
    <row r="1046" spans="1:16">
      <c r="E1046" s="315" t="s">
        <v>101</v>
      </c>
      <c r="F1046" s="123"/>
      <c r="G1046" s="135"/>
      <c r="H1046" s="135"/>
      <c r="I1046" s="136"/>
      <c r="J1046" s="135"/>
      <c r="K1046" s="123">
        <f t="shared" si="134"/>
        <v>0</v>
      </c>
      <c r="L1046" s="136">
        <v>0</v>
      </c>
      <c r="M1046" s="136">
        <f t="shared" si="135"/>
        <v>0</v>
      </c>
      <c r="N1046" s="157"/>
      <c r="O1046" s="136">
        <f t="shared" si="136"/>
        <v>0</v>
      </c>
      <c r="P1046" s="157"/>
    </row>
    <row r="1047" spans="1:16">
      <c r="E1047" s="37" t="s">
        <v>266</v>
      </c>
      <c r="F1047" s="47">
        <f>84000000+20198500</f>
        <v>104198500</v>
      </c>
      <c r="G1047" s="135"/>
      <c r="H1047" s="136">
        <v>176300</v>
      </c>
      <c r="I1047" s="136">
        <v>16283814</v>
      </c>
      <c r="J1047" s="135"/>
      <c r="K1047" s="47">
        <f t="shared" si="134"/>
        <v>120658614</v>
      </c>
      <c r="L1047" s="47">
        <v>120263000</v>
      </c>
      <c r="M1047" s="47">
        <f t="shared" si="135"/>
        <v>16064500</v>
      </c>
      <c r="N1047" s="96">
        <f t="shared" si="137"/>
        <v>0.15417208501082069</v>
      </c>
      <c r="O1047" s="47">
        <f t="shared" si="136"/>
        <v>-395614</v>
      </c>
      <c r="P1047" s="96">
        <f t="shared" si="138"/>
        <v>-3.2787878700479686E-3</v>
      </c>
    </row>
    <row r="1048" spans="1:16">
      <c r="E1048" s="37"/>
      <c r="F1048" s="47"/>
      <c r="G1048" s="135"/>
      <c r="H1048" s="135"/>
      <c r="I1048" s="136"/>
      <c r="J1048" s="135"/>
      <c r="K1048" s="47">
        <f t="shared" si="134"/>
        <v>0</v>
      </c>
      <c r="L1048" s="47">
        <v>0</v>
      </c>
      <c r="M1048" s="47">
        <f t="shared" si="135"/>
        <v>0</v>
      </c>
      <c r="N1048" s="96"/>
      <c r="O1048" s="47">
        <f t="shared" si="136"/>
        <v>0</v>
      </c>
      <c r="P1048" s="96"/>
    </row>
    <row r="1049" spans="1:16">
      <c r="E1049" s="307" t="s">
        <v>224</v>
      </c>
      <c r="F1049" s="125">
        <v>2000000</v>
      </c>
      <c r="G1049" s="135"/>
      <c r="H1049" s="135"/>
      <c r="I1049" s="136">
        <v>596291</v>
      </c>
      <c r="J1049" s="135"/>
      <c r="K1049" s="125">
        <f t="shared" si="134"/>
        <v>2596291</v>
      </c>
      <c r="L1049" s="125">
        <v>0</v>
      </c>
      <c r="M1049" s="125">
        <f t="shared" si="135"/>
        <v>-2000000</v>
      </c>
      <c r="N1049" s="284">
        <f t="shared" si="137"/>
        <v>-1</v>
      </c>
      <c r="O1049" s="125">
        <f t="shared" si="136"/>
        <v>-2596291</v>
      </c>
      <c r="P1049" s="284">
        <f t="shared" si="138"/>
        <v>-1</v>
      </c>
    </row>
    <row r="1050" spans="1:16" s="10" customFormat="1">
      <c r="A1050" s="135"/>
      <c r="B1050" s="135"/>
      <c r="C1050" s="482"/>
      <c r="D1050" s="482"/>
      <c r="E1050" s="429"/>
      <c r="F1050" s="353"/>
      <c r="G1050" s="135"/>
      <c r="H1050" s="135"/>
      <c r="I1050" s="136"/>
      <c r="J1050" s="135"/>
      <c r="K1050" s="353">
        <f t="shared" si="134"/>
        <v>0</v>
      </c>
      <c r="L1050" s="353">
        <v>0</v>
      </c>
      <c r="M1050" s="353">
        <f t="shared" si="135"/>
        <v>0</v>
      </c>
      <c r="N1050" s="287"/>
      <c r="O1050" s="353">
        <f t="shared" si="136"/>
        <v>0</v>
      </c>
      <c r="P1050" s="287"/>
    </row>
    <row r="1051" spans="1:16">
      <c r="E1051" s="315" t="s">
        <v>101</v>
      </c>
      <c r="F1051" s="123"/>
      <c r="G1051" s="135"/>
      <c r="H1051" s="135"/>
      <c r="I1051" s="136"/>
      <c r="J1051" s="135"/>
      <c r="K1051" s="123">
        <f t="shared" si="134"/>
        <v>0</v>
      </c>
      <c r="L1051" s="136">
        <v>0</v>
      </c>
      <c r="M1051" s="136">
        <f t="shared" si="135"/>
        <v>0</v>
      </c>
      <c r="N1051" s="157"/>
      <c r="O1051" s="136">
        <f t="shared" si="136"/>
        <v>0</v>
      </c>
      <c r="P1051" s="157"/>
    </row>
    <row r="1052" spans="1:16">
      <c r="E1052" s="37" t="s">
        <v>267</v>
      </c>
      <c r="F1052" s="47">
        <v>1328110</v>
      </c>
      <c r="G1052" s="135"/>
      <c r="H1052" s="135"/>
      <c r="I1052" s="136"/>
      <c r="J1052" s="135"/>
      <c r="K1052" s="47">
        <f t="shared" si="134"/>
        <v>1328110</v>
      </c>
      <c r="L1052" s="47">
        <v>1328110</v>
      </c>
      <c r="M1052" s="47">
        <f t="shared" si="135"/>
        <v>0</v>
      </c>
      <c r="N1052" s="96">
        <f t="shared" si="137"/>
        <v>0</v>
      </c>
      <c r="O1052" s="47">
        <f t="shared" si="136"/>
        <v>0</v>
      </c>
      <c r="P1052" s="96">
        <f t="shared" si="138"/>
        <v>0</v>
      </c>
    </row>
    <row r="1053" spans="1:16" s="10" customFormat="1">
      <c r="A1053" s="135"/>
      <c r="B1053" s="135"/>
      <c r="C1053" s="482"/>
      <c r="D1053" s="482"/>
      <c r="E1053" s="334"/>
      <c r="F1053" s="335"/>
      <c r="G1053" s="135"/>
      <c r="H1053" s="135"/>
      <c r="I1053" s="136"/>
      <c r="J1053" s="135"/>
      <c r="K1053" s="335">
        <f t="shared" si="134"/>
        <v>0</v>
      </c>
      <c r="L1053" s="335">
        <v>0</v>
      </c>
      <c r="M1053" s="335">
        <f t="shared" si="135"/>
        <v>0</v>
      </c>
      <c r="N1053" s="322"/>
      <c r="O1053" s="335">
        <f t="shared" si="136"/>
        <v>0</v>
      </c>
      <c r="P1053" s="322"/>
    </row>
    <row r="1054" spans="1:16">
      <c r="C1054" s="537" t="s">
        <v>1013</v>
      </c>
      <c r="D1054" s="537" t="s">
        <v>1023</v>
      </c>
      <c r="E1054" s="339" t="s">
        <v>268</v>
      </c>
      <c r="F1054" s="123">
        <f>SUM(F1055:F1056)</f>
        <v>2881600</v>
      </c>
      <c r="G1054" s="135"/>
      <c r="H1054" s="123">
        <f>SUM(H1055:H1056)</f>
        <v>90000</v>
      </c>
      <c r="I1054" s="123"/>
      <c r="J1054" s="135"/>
      <c r="K1054" s="123">
        <f t="shared" si="134"/>
        <v>2971600</v>
      </c>
      <c r="L1054" s="123">
        <v>2817160</v>
      </c>
      <c r="M1054" s="123">
        <f t="shared" si="135"/>
        <v>-64440</v>
      </c>
      <c r="N1054" s="160">
        <f t="shared" si="137"/>
        <v>-2.2362576346474181E-2</v>
      </c>
      <c r="O1054" s="123">
        <f t="shared" si="136"/>
        <v>-154440</v>
      </c>
      <c r="P1054" s="160">
        <f t="shared" si="138"/>
        <v>-5.1972001615291426E-2</v>
      </c>
    </row>
    <row r="1055" spans="1:16">
      <c r="E1055" s="323" t="s">
        <v>417</v>
      </c>
      <c r="F1055" s="124">
        <f>1341600+100000</f>
        <v>1441600</v>
      </c>
      <c r="G1055" s="135"/>
      <c r="H1055" s="272">
        <v>90000</v>
      </c>
      <c r="I1055" s="272"/>
      <c r="J1055" s="135"/>
      <c r="K1055" s="124">
        <f t="shared" si="134"/>
        <v>1531600</v>
      </c>
      <c r="L1055" s="124">
        <v>1531600</v>
      </c>
      <c r="M1055" s="124">
        <f t="shared" si="135"/>
        <v>90000</v>
      </c>
      <c r="N1055" s="270">
        <f t="shared" si="137"/>
        <v>6.2430632630410654E-2</v>
      </c>
      <c r="O1055" s="124">
        <f t="shared" si="136"/>
        <v>0</v>
      </c>
      <c r="P1055" s="270">
        <f t="shared" si="138"/>
        <v>0</v>
      </c>
    </row>
    <row r="1056" spans="1:16">
      <c r="E1056" s="350" t="s">
        <v>418</v>
      </c>
      <c r="F1056" s="124">
        <f>1272300+167700</f>
        <v>1440000</v>
      </c>
      <c r="G1056" s="135"/>
      <c r="H1056" s="135"/>
      <c r="I1056" s="136"/>
      <c r="J1056" s="135"/>
      <c r="K1056" s="124">
        <f t="shared" si="134"/>
        <v>1440000</v>
      </c>
      <c r="L1056" s="124">
        <v>1285560</v>
      </c>
      <c r="M1056" s="124">
        <f t="shared" si="135"/>
        <v>-154440</v>
      </c>
      <c r="N1056" s="270">
        <f t="shared" si="137"/>
        <v>-0.10725</v>
      </c>
      <c r="O1056" s="124">
        <f t="shared" si="136"/>
        <v>-154440</v>
      </c>
      <c r="P1056" s="270">
        <f t="shared" si="138"/>
        <v>-0.10725</v>
      </c>
    </row>
    <row r="1057" spans="1:16">
      <c r="E1057" s="430"/>
      <c r="F1057" s="431"/>
      <c r="G1057" s="135"/>
      <c r="H1057" s="135"/>
      <c r="I1057" s="136"/>
      <c r="J1057" s="135"/>
      <c r="K1057" s="431">
        <f t="shared" si="134"/>
        <v>0</v>
      </c>
      <c r="L1057" s="431">
        <v>0</v>
      </c>
      <c r="M1057" s="431">
        <f t="shared" si="135"/>
        <v>0</v>
      </c>
      <c r="N1057" s="342"/>
      <c r="O1057" s="431">
        <f t="shared" si="136"/>
        <v>0</v>
      </c>
      <c r="P1057" s="342"/>
    </row>
    <row r="1058" spans="1:16" ht="51">
      <c r="E1058" s="68" t="s">
        <v>924</v>
      </c>
      <c r="F1058" s="48"/>
      <c r="G1058" s="135"/>
      <c r="H1058" s="135"/>
      <c r="I1058" s="136"/>
      <c r="J1058" s="135"/>
      <c r="K1058" s="48">
        <f t="shared" si="134"/>
        <v>0</v>
      </c>
      <c r="L1058" s="48">
        <v>0</v>
      </c>
      <c r="M1058" s="48">
        <f t="shared" si="135"/>
        <v>0</v>
      </c>
      <c r="N1058" s="97"/>
      <c r="O1058" s="48">
        <f t="shared" si="136"/>
        <v>0</v>
      </c>
      <c r="P1058" s="97"/>
    </row>
    <row r="1059" spans="1:16" s="10" customFormat="1">
      <c r="A1059" s="135"/>
      <c r="B1059" s="135"/>
      <c r="C1059" s="482"/>
      <c r="D1059" s="482"/>
      <c r="E1059" s="430"/>
      <c r="F1059" s="431"/>
      <c r="G1059" s="135"/>
      <c r="H1059" s="135"/>
      <c r="I1059" s="136"/>
      <c r="J1059" s="135"/>
      <c r="K1059" s="431">
        <f t="shared" si="134"/>
        <v>0</v>
      </c>
      <c r="L1059" s="431">
        <v>0</v>
      </c>
      <c r="M1059" s="431">
        <f t="shared" si="135"/>
        <v>0</v>
      </c>
      <c r="N1059" s="342"/>
      <c r="O1059" s="431">
        <f t="shared" si="136"/>
        <v>0</v>
      </c>
      <c r="P1059" s="342"/>
    </row>
    <row r="1060" spans="1:16">
      <c r="C1060" s="537" t="s">
        <v>1013</v>
      </c>
      <c r="D1060" s="537" t="s">
        <v>1017</v>
      </c>
      <c r="E1060" s="339" t="s">
        <v>925</v>
      </c>
      <c r="F1060" s="123">
        <v>1038787</v>
      </c>
      <c r="G1060" s="135"/>
      <c r="H1060" s="135"/>
      <c r="I1060" s="123">
        <v>62100</v>
      </c>
      <c r="J1060" s="135"/>
      <c r="K1060" s="123">
        <f t="shared" si="134"/>
        <v>1100887</v>
      </c>
      <c r="L1060" s="123">
        <v>1048787</v>
      </c>
      <c r="M1060" s="123">
        <f t="shared" si="135"/>
        <v>10000</v>
      </c>
      <c r="N1060" s="160">
        <f t="shared" si="137"/>
        <v>9.6266125779394616E-3</v>
      </c>
      <c r="O1060" s="123">
        <f t="shared" si="136"/>
        <v>-52100</v>
      </c>
      <c r="P1060" s="160">
        <f t="shared" si="138"/>
        <v>-4.7325474821666526E-2</v>
      </c>
    </row>
    <row r="1061" spans="1:16" s="10" customFormat="1">
      <c r="A1061" s="135"/>
      <c r="B1061" s="135"/>
      <c r="C1061" s="482"/>
      <c r="D1061" s="482"/>
      <c r="E1061" s="66"/>
      <c r="F1061" s="47"/>
      <c r="G1061" s="135"/>
      <c r="H1061" s="135"/>
      <c r="I1061" s="136"/>
      <c r="J1061" s="135"/>
      <c r="K1061" s="47">
        <f t="shared" si="134"/>
        <v>0</v>
      </c>
      <c r="L1061" s="47"/>
      <c r="M1061" s="47">
        <f t="shared" si="135"/>
        <v>0</v>
      </c>
      <c r="N1061" s="96"/>
      <c r="O1061" s="47">
        <f t="shared" si="136"/>
        <v>0</v>
      </c>
      <c r="P1061" s="96"/>
    </row>
    <row r="1062" spans="1:16">
      <c r="E1062" s="261" t="s">
        <v>102</v>
      </c>
      <c r="F1062" s="127">
        <f>SUM(F1064,F1067,F1075,F1081,F1119,F1121,F1091,F1086,F1105)</f>
        <v>3499753</v>
      </c>
      <c r="G1062" s="127">
        <f>SUM(G1064,G1067,G1075,G1081,G1119,G1121,G1091,G1086,G1105)</f>
        <v>0</v>
      </c>
      <c r="H1062" s="127">
        <f>SUM(H1064,H1067,H1075,H1081,H1119,H1121,H1091,H1086,H1105,H1096,H1101,H1110)</f>
        <v>463562</v>
      </c>
      <c r="I1062" s="127">
        <f>SUM(I1064,I1067,I1075,I1081,I1119,I1121,I1091,I1086,I1105,I1096,I1101,I1110,I1114)</f>
        <v>-33736</v>
      </c>
      <c r="J1062" s="127">
        <f>SUM(J1064,J1067,J1075,J1081,J1119,J1121,J1091,J1086,J1105)</f>
        <v>140128</v>
      </c>
      <c r="K1062" s="127">
        <f t="shared" si="134"/>
        <v>4069707</v>
      </c>
      <c r="L1062" s="127">
        <f>SUM(L1064,L1067,L1075,L1081,L1110,L1119,L1091,L1086,L1105,L1121,L1114)</f>
        <v>4221089</v>
      </c>
      <c r="M1062" s="127">
        <f t="shared" si="135"/>
        <v>721336</v>
      </c>
      <c r="N1062" s="160">
        <f t="shared" si="137"/>
        <v>0.20611054551564068</v>
      </c>
      <c r="O1062" s="127">
        <f t="shared" si="136"/>
        <v>151382</v>
      </c>
      <c r="P1062" s="160">
        <f t="shared" si="138"/>
        <v>3.7197272432634584E-2</v>
      </c>
    </row>
    <row r="1063" spans="1:16">
      <c r="E1063" s="261"/>
      <c r="F1063" s="127"/>
      <c r="G1063" s="135"/>
      <c r="H1063" s="135"/>
      <c r="I1063" s="136"/>
      <c r="J1063" s="135"/>
      <c r="K1063" s="127">
        <f t="shared" si="134"/>
        <v>0</v>
      </c>
      <c r="L1063" s="268">
        <v>0</v>
      </c>
      <c r="M1063" s="268">
        <f t="shared" si="135"/>
        <v>0</v>
      </c>
      <c r="N1063" s="157"/>
      <c r="O1063" s="268">
        <f t="shared" si="136"/>
        <v>0</v>
      </c>
      <c r="P1063" s="157"/>
    </row>
    <row r="1064" spans="1:16">
      <c r="A1064" s="77" t="s">
        <v>683</v>
      </c>
      <c r="B1064" s="77" t="s">
        <v>684</v>
      </c>
      <c r="C1064" s="537" t="s">
        <v>1013</v>
      </c>
      <c r="D1064" s="537"/>
      <c r="E1064" s="273" t="s">
        <v>35</v>
      </c>
      <c r="F1064" s="131">
        <f>1816684+112823</f>
        <v>1929507</v>
      </c>
      <c r="G1064" s="136"/>
      <c r="H1064" s="136">
        <v>-36046</v>
      </c>
      <c r="I1064" s="136">
        <v>-51136</v>
      </c>
      <c r="J1064" s="136">
        <v>140128</v>
      </c>
      <c r="K1064" s="131">
        <f t="shared" si="134"/>
        <v>1982453</v>
      </c>
      <c r="L1064" s="131">
        <v>2117572</v>
      </c>
      <c r="M1064" s="131">
        <f t="shared" si="135"/>
        <v>188065</v>
      </c>
      <c r="N1064" s="157">
        <f t="shared" si="137"/>
        <v>9.7467902422743224E-2</v>
      </c>
      <c r="O1064" s="131">
        <f t="shared" si="136"/>
        <v>135119</v>
      </c>
      <c r="P1064" s="157">
        <f t="shared" si="138"/>
        <v>6.8157479647688993E-2</v>
      </c>
    </row>
    <row r="1065" spans="1:16">
      <c r="E1065" s="130" t="s">
        <v>47</v>
      </c>
      <c r="F1065" s="124">
        <f>1209883+83336</f>
        <v>1293219</v>
      </c>
      <c r="G1065" s="272"/>
      <c r="H1065" s="272">
        <v>-26940</v>
      </c>
      <c r="I1065" s="272">
        <v>-38218</v>
      </c>
      <c r="J1065" s="272">
        <v>104729</v>
      </c>
      <c r="K1065" s="124">
        <f t="shared" si="134"/>
        <v>1332790</v>
      </c>
      <c r="L1065" s="124">
        <v>1444809</v>
      </c>
      <c r="M1065" s="124">
        <f t="shared" si="135"/>
        <v>151590</v>
      </c>
      <c r="N1065" s="270">
        <f t="shared" si="137"/>
        <v>0.11721912529896328</v>
      </c>
      <c r="O1065" s="124">
        <f t="shared" si="136"/>
        <v>112019</v>
      </c>
      <c r="P1065" s="270">
        <f t="shared" si="138"/>
        <v>8.4048499763653695E-2</v>
      </c>
    </row>
    <row r="1066" spans="1:16">
      <c r="E1066" s="271"/>
      <c r="F1066" s="128"/>
      <c r="G1066" s="135"/>
      <c r="H1066" s="136"/>
      <c r="I1066" s="136"/>
      <c r="J1066" s="135"/>
      <c r="K1066" s="128">
        <f t="shared" si="134"/>
        <v>0</v>
      </c>
      <c r="L1066" s="268">
        <v>0</v>
      </c>
      <c r="M1066" s="268">
        <f t="shared" si="135"/>
        <v>0</v>
      </c>
      <c r="N1066" s="157"/>
      <c r="O1066" s="268">
        <f t="shared" si="136"/>
        <v>0</v>
      </c>
      <c r="P1066" s="157"/>
    </row>
    <row r="1067" spans="1:16">
      <c r="A1067" s="77" t="s">
        <v>683</v>
      </c>
      <c r="B1067" s="77" t="s">
        <v>684</v>
      </c>
      <c r="C1067" s="537" t="s">
        <v>1013</v>
      </c>
      <c r="D1067" s="537" t="s">
        <v>963</v>
      </c>
      <c r="E1067" s="104" t="s">
        <v>398</v>
      </c>
      <c r="F1067" s="136">
        <f>SUM(F1068:F1071)</f>
        <v>780000</v>
      </c>
      <c r="G1067" s="135"/>
      <c r="H1067" s="136"/>
      <c r="I1067" s="136">
        <f>SUM(I1068:I1071)</f>
        <v>36000</v>
      </c>
      <c r="J1067" s="135"/>
      <c r="K1067" s="136">
        <f t="shared" si="134"/>
        <v>816000</v>
      </c>
      <c r="L1067" s="136">
        <f>SUM(L1068:L1071)</f>
        <v>879000</v>
      </c>
      <c r="M1067" s="136">
        <f t="shared" si="135"/>
        <v>99000</v>
      </c>
      <c r="N1067" s="157">
        <f t="shared" si="137"/>
        <v>0.12692307692307692</v>
      </c>
      <c r="O1067" s="136">
        <f t="shared" si="136"/>
        <v>63000</v>
      </c>
      <c r="P1067" s="157">
        <f t="shared" si="138"/>
        <v>7.720588235294118E-2</v>
      </c>
    </row>
    <row r="1068" spans="1:16">
      <c r="E1068" s="296" t="s">
        <v>531</v>
      </c>
      <c r="F1068" s="298">
        <v>320000</v>
      </c>
      <c r="G1068" s="135"/>
      <c r="H1068" s="136"/>
      <c r="I1068" s="136"/>
      <c r="J1068" s="135"/>
      <c r="K1068" s="298">
        <f t="shared" si="134"/>
        <v>320000</v>
      </c>
      <c r="L1068" s="298">
        <v>320000</v>
      </c>
      <c r="M1068" s="298">
        <f t="shared" si="135"/>
        <v>0</v>
      </c>
      <c r="N1068" s="299">
        <f t="shared" si="137"/>
        <v>0</v>
      </c>
      <c r="O1068" s="298">
        <f t="shared" si="136"/>
        <v>0</v>
      </c>
      <c r="P1068" s="299">
        <f t="shared" si="138"/>
        <v>0</v>
      </c>
    </row>
    <row r="1069" spans="1:16">
      <c r="E1069" s="183" t="s">
        <v>269</v>
      </c>
      <c r="F1069" s="304">
        <v>230000</v>
      </c>
      <c r="G1069" s="135"/>
      <c r="H1069" s="136"/>
      <c r="I1069" s="136">
        <v>36000</v>
      </c>
      <c r="J1069" s="135"/>
      <c r="K1069" s="304">
        <f t="shared" si="134"/>
        <v>266000</v>
      </c>
      <c r="L1069" s="304">
        <v>330000</v>
      </c>
      <c r="M1069" s="304">
        <f t="shared" si="135"/>
        <v>100000</v>
      </c>
      <c r="N1069" s="305">
        <f t="shared" si="137"/>
        <v>0.43478260869565216</v>
      </c>
      <c r="O1069" s="304">
        <f t="shared" si="136"/>
        <v>64000</v>
      </c>
      <c r="P1069" s="305">
        <f t="shared" si="138"/>
        <v>0.24060150375939848</v>
      </c>
    </row>
    <row r="1070" spans="1:16">
      <c r="E1070" s="183" t="s">
        <v>397</v>
      </c>
      <c r="F1070" s="304">
        <v>160000</v>
      </c>
      <c r="G1070" s="135"/>
      <c r="H1070" s="136"/>
      <c r="I1070" s="136"/>
      <c r="J1070" s="135"/>
      <c r="K1070" s="304">
        <f t="shared" si="134"/>
        <v>160000</v>
      </c>
      <c r="L1070" s="304">
        <v>138000</v>
      </c>
      <c r="M1070" s="304">
        <f t="shared" si="135"/>
        <v>-22000</v>
      </c>
      <c r="N1070" s="305">
        <f t="shared" si="137"/>
        <v>-0.13750000000000001</v>
      </c>
      <c r="O1070" s="304">
        <f t="shared" si="136"/>
        <v>-22000</v>
      </c>
      <c r="P1070" s="305">
        <f t="shared" si="138"/>
        <v>-0.13750000000000001</v>
      </c>
    </row>
    <row r="1071" spans="1:16">
      <c r="E1071" s="183" t="s">
        <v>270</v>
      </c>
      <c r="F1071" s="304">
        <v>70000</v>
      </c>
      <c r="G1071" s="135"/>
      <c r="H1071" s="136"/>
      <c r="I1071" s="136"/>
      <c r="J1071" s="135"/>
      <c r="K1071" s="304">
        <f t="shared" si="134"/>
        <v>70000</v>
      </c>
      <c r="L1071" s="304">
        <v>91000</v>
      </c>
      <c r="M1071" s="304">
        <f t="shared" si="135"/>
        <v>21000</v>
      </c>
      <c r="N1071" s="305">
        <f t="shared" si="137"/>
        <v>0.3</v>
      </c>
      <c r="O1071" s="304">
        <f t="shared" si="136"/>
        <v>21000</v>
      </c>
      <c r="P1071" s="305">
        <f t="shared" si="138"/>
        <v>0.3</v>
      </c>
    </row>
    <row r="1072" spans="1:16">
      <c r="E1072" s="183"/>
      <c r="F1072" s="304"/>
      <c r="G1072" s="135"/>
      <c r="H1072" s="136"/>
      <c r="I1072" s="136"/>
      <c r="J1072" s="135"/>
      <c r="K1072" s="304">
        <f t="shared" si="134"/>
        <v>0</v>
      </c>
      <c r="L1072" s="304">
        <v>0</v>
      </c>
      <c r="M1072" s="304">
        <f t="shared" si="135"/>
        <v>0</v>
      </c>
      <c r="N1072" s="305"/>
      <c r="O1072" s="304">
        <f t="shared" si="136"/>
        <v>0</v>
      </c>
      <c r="P1072" s="305"/>
    </row>
    <row r="1073" spans="1:16">
      <c r="E1073" s="391" t="s">
        <v>284</v>
      </c>
      <c r="F1073" s="298"/>
      <c r="G1073" s="135"/>
      <c r="H1073" s="136"/>
      <c r="I1073" s="136"/>
      <c r="J1073" s="135"/>
      <c r="K1073" s="298">
        <f t="shared" si="134"/>
        <v>0</v>
      </c>
      <c r="L1073" s="298">
        <v>0</v>
      </c>
      <c r="M1073" s="298">
        <f t="shared" si="135"/>
        <v>0</v>
      </c>
      <c r="N1073" s="299"/>
      <c r="O1073" s="298">
        <f t="shared" si="136"/>
        <v>0</v>
      </c>
      <c r="P1073" s="299"/>
    </row>
    <row r="1074" spans="1:16">
      <c r="E1074" s="303"/>
      <c r="F1074" s="304"/>
      <c r="G1074" s="135"/>
      <c r="H1074" s="136"/>
      <c r="I1074" s="136"/>
      <c r="J1074" s="135"/>
      <c r="K1074" s="304">
        <f t="shared" si="134"/>
        <v>0</v>
      </c>
      <c r="L1074" s="304">
        <v>0</v>
      </c>
      <c r="M1074" s="304">
        <f t="shared" si="135"/>
        <v>0</v>
      </c>
      <c r="N1074" s="305"/>
      <c r="O1074" s="304">
        <f t="shared" si="136"/>
        <v>0</v>
      </c>
      <c r="P1074" s="305"/>
    </row>
    <row r="1075" spans="1:16">
      <c r="A1075" s="77" t="s">
        <v>683</v>
      </c>
      <c r="B1075" s="77" t="s">
        <v>684</v>
      </c>
      <c r="C1075" s="537" t="s">
        <v>1013</v>
      </c>
      <c r="D1075" s="537" t="s">
        <v>963</v>
      </c>
      <c r="E1075" s="267" t="s">
        <v>1192</v>
      </c>
      <c r="F1075" s="268">
        <f>SUM(F1076:F1077)</f>
        <v>269320</v>
      </c>
      <c r="G1075" s="135"/>
      <c r="H1075" s="268">
        <f>SUM(H1076:H1077)</f>
        <v>0</v>
      </c>
      <c r="I1075" s="268">
        <v>-23600</v>
      </c>
      <c r="J1075" s="135"/>
      <c r="K1075" s="268">
        <f t="shared" si="134"/>
        <v>245720</v>
      </c>
      <c r="L1075" s="268">
        <f>SUM(L1076:L1077)</f>
        <v>390070</v>
      </c>
      <c r="M1075" s="268">
        <f t="shared" si="135"/>
        <v>120750</v>
      </c>
      <c r="N1075" s="157">
        <f t="shared" si="137"/>
        <v>0.44835140353482844</v>
      </c>
      <c r="O1075" s="268">
        <f t="shared" si="136"/>
        <v>144350</v>
      </c>
      <c r="P1075" s="157">
        <f t="shared" si="138"/>
        <v>0.58745726843561774</v>
      </c>
    </row>
    <row r="1076" spans="1:16">
      <c r="E1076" s="296" t="s">
        <v>532</v>
      </c>
      <c r="F1076" s="298">
        <v>254320</v>
      </c>
      <c r="G1076" s="135"/>
      <c r="H1076" s="381">
        <v>-7100</v>
      </c>
      <c r="I1076" s="381">
        <v>-23600</v>
      </c>
      <c r="J1076" s="135"/>
      <c r="K1076" s="298">
        <f t="shared" si="134"/>
        <v>223620</v>
      </c>
      <c r="L1076" s="514">
        <v>366570</v>
      </c>
      <c r="M1076" s="514">
        <f t="shared" si="135"/>
        <v>112250</v>
      </c>
      <c r="N1076" s="299">
        <f t="shared" si="137"/>
        <v>0.44137307329348852</v>
      </c>
      <c r="O1076" s="514">
        <f t="shared" si="136"/>
        <v>142950</v>
      </c>
      <c r="P1076" s="299">
        <f t="shared" si="138"/>
        <v>0.63925409176281189</v>
      </c>
    </row>
    <row r="1077" spans="1:16">
      <c r="E1077" s="297" t="s">
        <v>271</v>
      </c>
      <c r="F1077" s="298">
        <v>15000</v>
      </c>
      <c r="G1077" s="135"/>
      <c r="H1077" s="381">
        <v>7100</v>
      </c>
      <c r="I1077" s="381"/>
      <c r="J1077" s="135"/>
      <c r="K1077" s="298">
        <f t="shared" si="134"/>
        <v>22100</v>
      </c>
      <c r="L1077" s="298">
        <v>23500</v>
      </c>
      <c r="M1077" s="298">
        <f t="shared" si="135"/>
        <v>8500</v>
      </c>
      <c r="N1077" s="299">
        <f t="shared" si="137"/>
        <v>0.56666666666666665</v>
      </c>
      <c r="O1077" s="298">
        <f t="shared" si="136"/>
        <v>1400</v>
      </c>
      <c r="P1077" s="299">
        <f t="shared" si="138"/>
        <v>6.3348416289592757E-2</v>
      </c>
    </row>
    <row r="1078" spans="1:16">
      <c r="E1078" s="297"/>
      <c r="F1078" s="298"/>
      <c r="G1078" s="135"/>
      <c r="H1078" s="136"/>
      <c r="I1078" s="136"/>
      <c r="J1078" s="135"/>
      <c r="K1078" s="298">
        <f t="shared" si="134"/>
        <v>0</v>
      </c>
      <c r="L1078" s="298">
        <v>0</v>
      </c>
      <c r="M1078" s="298">
        <f t="shared" si="135"/>
        <v>0</v>
      </c>
      <c r="N1078" s="299"/>
      <c r="O1078" s="298">
        <f t="shared" si="136"/>
        <v>0</v>
      </c>
      <c r="P1078" s="299"/>
    </row>
    <row r="1079" spans="1:16">
      <c r="E1079" s="391" t="s">
        <v>284</v>
      </c>
      <c r="F1079" s="298"/>
      <c r="G1079" s="135"/>
      <c r="H1079" s="136"/>
      <c r="I1079" s="136"/>
      <c r="J1079" s="135"/>
      <c r="K1079" s="298">
        <f t="shared" si="134"/>
        <v>0</v>
      </c>
      <c r="L1079" s="298">
        <v>0</v>
      </c>
      <c r="M1079" s="298">
        <f t="shared" si="135"/>
        <v>0</v>
      </c>
      <c r="N1079" s="299"/>
      <c r="O1079" s="298">
        <f t="shared" si="136"/>
        <v>0</v>
      </c>
      <c r="P1079" s="299"/>
    </row>
    <row r="1080" spans="1:16">
      <c r="E1080" s="261"/>
      <c r="F1080" s="127"/>
      <c r="G1080" s="135"/>
      <c r="H1080" s="136"/>
      <c r="I1080" s="136"/>
      <c r="J1080" s="135"/>
      <c r="K1080" s="127">
        <f t="shared" si="134"/>
        <v>0</v>
      </c>
      <c r="L1080" s="268">
        <v>0</v>
      </c>
      <c r="M1080" s="268">
        <f t="shared" si="135"/>
        <v>0</v>
      </c>
      <c r="N1080" s="157"/>
      <c r="O1080" s="268">
        <f t="shared" si="136"/>
        <v>0</v>
      </c>
      <c r="P1080" s="157"/>
    </row>
    <row r="1081" spans="1:16">
      <c r="A1081" s="77" t="s">
        <v>683</v>
      </c>
      <c r="B1081" s="77" t="s">
        <v>684</v>
      </c>
      <c r="C1081" s="537" t="s">
        <v>1013</v>
      </c>
      <c r="D1081" s="537" t="s">
        <v>963</v>
      </c>
      <c r="E1081" s="267" t="s">
        <v>272</v>
      </c>
      <c r="F1081" s="268">
        <f>SUM(F1082:F1084)</f>
        <v>304284</v>
      </c>
      <c r="G1081" s="135"/>
      <c r="H1081" s="268">
        <f>SUM(H1082:H1084)</f>
        <v>55000</v>
      </c>
      <c r="I1081" s="268"/>
      <c r="J1081" s="135"/>
      <c r="K1081" s="268">
        <f t="shared" si="134"/>
        <v>359284</v>
      </c>
      <c r="L1081" s="268">
        <f>SUM(L1082:L1084)</f>
        <v>274220</v>
      </c>
      <c r="M1081" s="268">
        <f t="shared" si="135"/>
        <v>-30064</v>
      </c>
      <c r="N1081" s="157">
        <f t="shared" si="137"/>
        <v>-9.8802434567706487E-2</v>
      </c>
      <c r="O1081" s="268">
        <f t="shared" si="136"/>
        <v>-85064</v>
      </c>
      <c r="P1081" s="157">
        <f t="shared" si="138"/>
        <v>-0.23675977778025184</v>
      </c>
    </row>
    <row r="1082" spans="1:16">
      <c r="E1082" s="296" t="s">
        <v>533</v>
      </c>
      <c r="F1082" s="298">
        <f>83000+50000</f>
        <v>133000</v>
      </c>
      <c r="G1082" s="135"/>
      <c r="H1082" s="381">
        <v>55000</v>
      </c>
      <c r="I1082" s="381"/>
      <c r="J1082" s="135"/>
      <c r="K1082" s="298">
        <f t="shared" si="134"/>
        <v>188000</v>
      </c>
      <c r="L1082" s="277">
        <v>119700</v>
      </c>
      <c r="M1082" s="277">
        <f t="shared" si="135"/>
        <v>-13300</v>
      </c>
      <c r="N1082" s="278">
        <f t="shared" si="137"/>
        <v>-0.1</v>
      </c>
      <c r="O1082" s="277">
        <f t="shared" si="136"/>
        <v>-68300</v>
      </c>
      <c r="P1082" s="278">
        <f t="shared" si="138"/>
        <v>-0.36329787234042554</v>
      </c>
    </row>
    <row r="1083" spans="1:16">
      <c r="E1083" s="297" t="s">
        <v>926</v>
      </c>
      <c r="F1083" s="298">
        <v>128284</v>
      </c>
      <c r="G1083" s="135"/>
      <c r="H1083" s="135"/>
      <c r="I1083" s="136"/>
      <c r="J1083" s="135"/>
      <c r="K1083" s="298">
        <f t="shared" si="134"/>
        <v>128284</v>
      </c>
      <c r="L1083" s="277">
        <v>115820</v>
      </c>
      <c r="M1083" s="277">
        <f t="shared" si="135"/>
        <v>-12464</v>
      </c>
      <c r="N1083" s="278">
        <f t="shared" si="137"/>
        <v>-9.7159427520189579E-2</v>
      </c>
      <c r="O1083" s="277">
        <f t="shared" si="136"/>
        <v>-12464</v>
      </c>
      <c r="P1083" s="278">
        <f t="shared" si="138"/>
        <v>-9.7159427520189579E-2</v>
      </c>
    </row>
    <row r="1084" spans="1:16">
      <c r="E1084" s="297" t="s">
        <v>273</v>
      </c>
      <c r="F1084" s="298">
        <f>13000+30000</f>
        <v>43000</v>
      </c>
      <c r="G1084" s="135"/>
      <c r="H1084" s="135"/>
      <c r="I1084" s="136"/>
      <c r="J1084" s="135"/>
      <c r="K1084" s="298">
        <f t="shared" si="134"/>
        <v>43000</v>
      </c>
      <c r="L1084" s="277">
        <v>38700</v>
      </c>
      <c r="M1084" s="277">
        <f t="shared" si="135"/>
        <v>-4300</v>
      </c>
      <c r="N1084" s="278">
        <f t="shared" si="137"/>
        <v>-0.1</v>
      </c>
      <c r="O1084" s="277">
        <f t="shared" si="136"/>
        <v>-4300</v>
      </c>
      <c r="P1084" s="278">
        <f t="shared" si="138"/>
        <v>-0.1</v>
      </c>
    </row>
    <row r="1085" spans="1:16">
      <c r="E1085" s="307"/>
      <c r="F1085" s="125"/>
      <c r="G1085" s="135"/>
      <c r="H1085" s="135"/>
      <c r="I1085" s="136"/>
      <c r="J1085" s="135"/>
      <c r="K1085" s="125">
        <f t="shared" si="134"/>
        <v>0</v>
      </c>
      <c r="L1085" s="125">
        <v>0</v>
      </c>
      <c r="M1085" s="125">
        <f t="shared" si="135"/>
        <v>0</v>
      </c>
      <c r="N1085" s="284"/>
      <c r="O1085" s="125">
        <f t="shared" si="136"/>
        <v>0</v>
      </c>
      <c r="P1085" s="284"/>
    </row>
    <row r="1086" spans="1:16">
      <c r="A1086" s="77" t="s">
        <v>683</v>
      </c>
      <c r="B1086" s="77" t="s">
        <v>684</v>
      </c>
      <c r="C1086" s="537" t="s">
        <v>1013</v>
      </c>
      <c r="D1086" s="537"/>
      <c r="E1086" s="290" t="s">
        <v>534</v>
      </c>
      <c r="F1086" s="291">
        <v>2442</v>
      </c>
      <c r="G1086" s="135"/>
      <c r="H1086" s="135"/>
      <c r="I1086" s="136"/>
      <c r="J1086" s="135"/>
      <c r="K1086" s="291">
        <f t="shared" si="134"/>
        <v>2442</v>
      </c>
      <c r="L1086" s="291">
        <v>0</v>
      </c>
      <c r="M1086" s="291">
        <f t="shared" si="135"/>
        <v>-2442</v>
      </c>
      <c r="N1086" s="282">
        <f t="shared" si="137"/>
        <v>-1</v>
      </c>
      <c r="O1086" s="291">
        <f t="shared" si="136"/>
        <v>-2442</v>
      </c>
      <c r="P1086" s="282">
        <f t="shared" si="138"/>
        <v>-1</v>
      </c>
    </row>
    <row r="1087" spans="1:16">
      <c r="E1087" s="130" t="s">
        <v>47</v>
      </c>
      <c r="F1087" s="124">
        <v>1825</v>
      </c>
      <c r="G1087" s="135"/>
      <c r="H1087" s="135"/>
      <c r="I1087" s="136"/>
      <c r="J1087" s="135"/>
      <c r="K1087" s="124">
        <f t="shared" si="134"/>
        <v>1825</v>
      </c>
      <c r="L1087" s="124">
        <v>0</v>
      </c>
      <c r="M1087" s="124">
        <f t="shared" si="135"/>
        <v>-1825</v>
      </c>
      <c r="N1087" s="270">
        <f t="shared" si="137"/>
        <v>-1</v>
      </c>
      <c r="O1087" s="124">
        <f t="shared" si="136"/>
        <v>-1825</v>
      </c>
      <c r="P1087" s="270">
        <f t="shared" si="138"/>
        <v>-1</v>
      </c>
    </row>
    <row r="1088" spans="1:16">
      <c r="E1088" s="285"/>
      <c r="F1088" s="286"/>
      <c r="G1088" s="135"/>
      <c r="H1088" s="135"/>
      <c r="I1088" s="136"/>
      <c r="J1088" s="135"/>
      <c r="K1088" s="286">
        <f t="shared" si="134"/>
        <v>0</v>
      </c>
      <c r="L1088" s="286">
        <v>0</v>
      </c>
      <c r="M1088" s="286">
        <f t="shared" si="135"/>
        <v>0</v>
      </c>
      <c r="N1088" s="287"/>
      <c r="O1088" s="286">
        <f t="shared" si="136"/>
        <v>0</v>
      </c>
      <c r="P1088" s="287"/>
    </row>
    <row r="1089" spans="1:16">
      <c r="E1089" s="307" t="s">
        <v>224</v>
      </c>
      <c r="F1089" s="125">
        <v>2076</v>
      </c>
      <c r="G1089" s="135"/>
      <c r="H1089" s="135"/>
      <c r="I1089" s="136"/>
      <c r="J1089" s="135"/>
      <c r="K1089" s="125">
        <f t="shared" si="134"/>
        <v>2076</v>
      </c>
      <c r="L1089" s="125">
        <v>0</v>
      </c>
      <c r="M1089" s="125">
        <f t="shared" si="135"/>
        <v>-2076</v>
      </c>
      <c r="N1089" s="284">
        <f t="shared" si="137"/>
        <v>-1</v>
      </c>
      <c r="O1089" s="125">
        <f t="shared" si="136"/>
        <v>-2076</v>
      </c>
      <c r="P1089" s="284">
        <f t="shared" si="138"/>
        <v>-1</v>
      </c>
    </row>
    <row r="1090" spans="1:16">
      <c r="E1090" s="130"/>
      <c r="F1090" s="124"/>
      <c r="G1090" s="135"/>
      <c r="H1090" s="135"/>
      <c r="I1090" s="136"/>
      <c r="J1090" s="135"/>
      <c r="K1090" s="124">
        <f t="shared" si="134"/>
        <v>0</v>
      </c>
      <c r="L1090" s="124">
        <v>0</v>
      </c>
      <c r="M1090" s="124">
        <f t="shared" si="135"/>
        <v>0</v>
      </c>
      <c r="N1090" s="270"/>
      <c r="O1090" s="124">
        <f t="shared" si="136"/>
        <v>0</v>
      </c>
      <c r="P1090" s="270"/>
    </row>
    <row r="1091" spans="1:16" ht="39.6">
      <c r="A1091" s="77" t="s">
        <v>683</v>
      </c>
      <c r="B1091" s="77" t="s">
        <v>684</v>
      </c>
      <c r="C1091" s="537" t="s">
        <v>1013</v>
      </c>
      <c r="D1091" s="561" t="s">
        <v>992</v>
      </c>
      <c r="E1091" s="290" t="s">
        <v>655</v>
      </c>
      <c r="F1091" s="291">
        <v>87208</v>
      </c>
      <c r="G1091" s="135"/>
      <c r="H1091" s="135"/>
      <c r="I1091" s="136"/>
      <c r="J1091" s="135"/>
      <c r="K1091" s="291">
        <f t="shared" si="134"/>
        <v>87208</v>
      </c>
      <c r="L1091" s="291">
        <v>76209</v>
      </c>
      <c r="M1091" s="291">
        <f t="shared" si="135"/>
        <v>-10999</v>
      </c>
      <c r="N1091" s="282">
        <f t="shared" si="137"/>
        <v>-0.12612375011466839</v>
      </c>
      <c r="O1091" s="291">
        <f t="shared" si="136"/>
        <v>-10999</v>
      </c>
      <c r="P1091" s="282">
        <f t="shared" si="138"/>
        <v>-0.12612375011466839</v>
      </c>
    </row>
    <row r="1092" spans="1:16">
      <c r="E1092" s="130" t="s">
        <v>47</v>
      </c>
      <c r="F1092" s="124">
        <v>46712</v>
      </c>
      <c r="G1092" s="135"/>
      <c r="H1092" s="135"/>
      <c r="I1092" s="136"/>
      <c r="J1092" s="135"/>
      <c r="K1092" s="124">
        <f t="shared" si="134"/>
        <v>46712</v>
      </c>
      <c r="L1092" s="125">
        <v>39238</v>
      </c>
      <c r="M1092" s="125">
        <f t="shared" si="135"/>
        <v>-7474</v>
      </c>
      <c r="N1092" s="284">
        <f t="shared" si="137"/>
        <v>-0.16000171262202431</v>
      </c>
      <c r="O1092" s="125">
        <f t="shared" si="136"/>
        <v>-7474</v>
      </c>
      <c r="P1092" s="284">
        <f t="shared" si="138"/>
        <v>-0.16000171262202431</v>
      </c>
    </row>
    <row r="1093" spans="1:16">
      <c r="E1093" s="306"/>
      <c r="F1093" s="515"/>
      <c r="G1093" s="135"/>
      <c r="H1093" s="135"/>
      <c r="I1093" s="136"/>
      <c r="J1093" s="135"/>
      <c r="K1093" s="515">
        <f t="shared" si="134"/>
        <v>0</v>
      </c>
      <c r="L1093" s="515">
        <v>0</v>
      </c>
      <c r="M1093" s="515">
        <f t="shared" si="135"/>
        <v>0</v>
      </c>
      <c r="N1093" s="651"/>
      <c r="O1093" s="515">
        <f t="shared" si="136"/>
        <v>0</v>
      </c>
      <c r="P1093" s="651"/>
    </row>
    <row r="1094" spans="1:16">
      <c r="E1094" s="307" t="s">
        <v>224</v>
      </c>
      <c r="F1094" s="125">
        <v>87208</v>
      </c>
      <c r="G1094" s="135"/>
      <c r="H1094" s="135"/>
      <c r="I1094" s="136"/>
      <c r="J1094" s="135"/>
      <c r="K1094" s="125">
        <f t="shared" si="134"/>
        <v>87208</v>
      </c>
      <c r="L1094" s="125">
        <v>76209</v>
      </c>
      <c r="M1094" s="125">
        <f t="shared" si="135"/>
        <v>-10999</v>
      </c>
      <c r="N1094" s="284">
        <f t="shared" si="137"/>
        <v>-0.12612375011466839</v>
      </c>
      <c r="O1094" s="125">
        <f t="shared" si="136"/>
        <v>-10999</v>
      </c>
      <c r="P1094" s="284">
        <f t="shared" si="138"/>
        <v>-0.12612375011466839</v>
      </c>
    </row>
    <row r="1095" spans="1:16">
      <c r="E1095" s="307"/>
      <c r="F1095" s="125"/>
      <c r="G1095" s="135"/>
      <c r="H1095" s="135"/>
      <c r="I1095" s="136"/>
      <c r="J1095" s="135"/>
      <c r="K1095" s="125">
        <f t="shared" si="134"/>
        <v>0</v>
      </c>
      <c r="L1095" s="125">
        <v>0</v>
      </c>
      <c r="M1095" s="125">
        <f t="shared" si="135"/>
        <v>0</v>
      </c>
      <c r="N1095" s="284"/>
      <c r="O1095" s="125">
        <f t="shared" si="136"/>
        <v>0</v>
      </c>
      <c r="P1095" s="284"/>
    </row>
    <row r="1096" spans="1:16" ht="39.6">
      <c r="A1096" s="77" t="s">
        <v>683</v>
      </c>
      <c r="B1096" s="77" t="s">
        <v>684</v>
      </c>
      <c r="C1096" s="537" t="s">
        <v>1013</v>
      </c>
      <c r="D1096" s="537" t="s">
        <v>963</v>
      </c>
      <c r="E1096" s="290" t="s">
        <v>358</v>
      </c>
      <c r="F1096" s="125"/>
      <c r="G1096" s="135"/>
      <c r="H1096" s="136">
        <v>287988</v>
      </c>
      <c r="I1096" s="136"/>
      <c r="J1096" s="135"/>
      <c r="K1096" s="291">
        <f t="shared" ref="K1096:K1159" si="139">F1096+G1096+H1096+J1096+I1096</f>
        <v>287988</v>
      </c>
      <c r="L1096" s="125">
        <v>0</v>
      </c>
      <c r="M1096" s="125">
        <f t="shared" ref="M1096:M1159" si="140">L1096-F1096</f>
        <v>0</v>
      </c>
      <c r="N1096" s="284"/>
      <c r="O1096" s="125">
        <f t="shared" ref="O1096:O1159" si="141">L1096-K1096</f>
        <v>-287988</v>
      </c>
      <c r="P1096" s="284">
        <f t="shared" ref="P1096:P1158" si="142">O1096/K1096</f>
        <v>-1</v>
      </c>
    </row>
    <row r="1097" spans="1:16">
      <c r="E1097" s="130" t="s">
        <v>47</v>
      </c>
      <c r="F1097" s="125"/>
      <c r="G1097" s="135"/>
      <c r="H1097" s="272">
        <v>4851</v>
      </c>
      <c r="I1097" s="272"/>
      <c r="J1097" s="135"/>
      <c r="K1097" s="124">
        <f t="shared" si="139"/>
        <v>4851</v>
      </c>
      <c r="L1097" s="125">
        <v>0</v>
      </c>
      <c r="M1097" s="125">
        <f t="shared" si="140"/>
        <v>0</v>
      </c>
      <c r="N1097" s="284"/>
      <c r="O1097" s="125">
        <f t="shared" si="141"/>
        <v>-4851</v>
      </c>
      <c r="P1097" s="284">
        <f t="shared" si="142"/>
        <v>-1</v>
      </c>
    </row>
    <row r="1098" spans="1:16">
      <c r="E1098" s="285"/>
      <c r="F1098" s="125"/>
      <c r="G1098" s="135"/>
      <c r="H1098" s="272"/>
      <c r="I1098" s="272"/>
      <c r="J1098" s="135"/>
      <c r="K1098" s="515">
        <f t="shared" si="139"/>
        <v>0</v>
      </c>
      <c r="L1098" s="125">
        <v>0</v>
      </c>
      <c r="M1098" s="125">
        <f t="shared" si="140"/>
        <v>0</v>
      </c>
      <c r="N1098" s="284"/>
      <c r="O1098" s="125">
        <f t="shared" si="141"/>
        <v>0</v>
      </c>
      <c r="P1098" s="284"/>
    </row>
    <row r="1099" spans="1:16">
      <c r="E1099" s="307" t="s">
        <v>927</v>
      </c>
      <c r="F1099" s="125"/>
      <c r="G1099" s="135"/>
      <c r="H1099" s="272">
        <v>286949</v>
      </c>
      <c r="I1099" s="272"/>
      <c r="J1099" s="135"/>
      <c r="K1099" s="125">
        <f t="shared" si="139"/>
        <v>286949</v>
      </c>
      <c r="L1099" s="125">
        <v>0</v>
      </c>
      <c r="M1099" s="125">
        <f t="shared" si="140"/>
        <v>0</v>
      </c>
      <c r="N1099" s="284"/>
      <c r="O1099" s="125">
        <f t="shared" si="141"/>
        <v>-286949</v>
      </c>
      <c r="P1099" s="284">
        <f t="shared" si="142"/>
        <v>-1</v>
      </c>
    </row>
    <row r="1100" spans="1:16">
      <c r="E1100" s="307"/>
      <c r="F1100" s="125"/>
      <c r="G1100" s="135"/>
      <c r="H1100" s="136"/>
      <c r="I1100" s="136"/>
      <c r="J1100" s="135"/>
      <c r="K1100" s="125">
        <f t="shared" si="139"/>
        <v>0</v>
      </c>
      <c r="L1100" s="125">
        <v>0</v>
      </c>
      <c r="M1100" s="125">
        <f t="shared" si="140"/>
        <v>0</v>
      </c>
      <c r="N1100" s="284"/>
      <c r="O1100" s="125">
        <f t="shared" si="141"/>
        <v>0</v>
      </c>
      <c r="P1100" s="284"/>
    </row>
    <row r="1101" spans="1:16">
      <c r="A1101" s="77" t="s">
        <v>683</v>
      </c>
      <c r="B1101" s="77" t="s">
        <v>684</v>
      </c>
      <c r="C1101" s="537" t="s">
        <v>1013</v>
      </c>
      <c r="D1101" s="537" t="s">
        <v>1017</v>
      </c>
      <c r="E1101" s="290" t="s">
        <v>390</v>
      </c>
      <c r="F1101" s="125"/>
      <c r="G1101" s="135"/>
      <c r="H1101" s="136">
        <v>1620</v>
      </c>
      <c r="I1101" s="136"/>
      <c r="J1101" s="135"/>
      <c r="K1101" s="291">
        <f t="shared" si="139"/>
        <v>1620</v>
      </c>
      <c r="L1101" s="125">
        <v>0</v>
      </c>
      <c r="M1101" s="125">
        <f t="shared" si="140"/>
        <v>0</v>
      </c>
      <c r="N1101" s="284"/>
      <c r="O1101" s="125">
        <f t="shared" si="141"/>
        <v>-1620</v>
      </c>
      <c r="P1101" s="284">
        <f t="shared" si="142"/>
        <v>-1</v>
      </c>
    </row>
    <row r="1102" spans="1:16">
      <c r="E1102" s="285"/>
      <c r="F1102" s="125"/>
      <c r="G1102" s="135"/>
      <c r="H1102" s="136"/>
      <c r="I1102" s="136"/>
      <c r="J1102" s="135"/>
      <c r="K1102" s="125">
        <f t="shared" si="139"/>
        <v>0</v>
      </c>
      <c r="L1102" s="125">
        <v>0</v>
      </c>
      <c r="M1102" s="125">
        <f t="shared" si="140"/>
        <v>0</v>
      </c>
      <c r="N1102" s="284"/>
      <c r="O1102" s="125">
        <f t="shared" si="141"/>
        <v>0</v>
      </c>
      <c r="P1102" s="284"/>
    </row>
    <row r="1103" spans="1:16">
      <c r="E1103" s="307" t="s">
        <v>224</v>
      </c>
      <c r="F1103" s="125"/>
      <c r="G1103" s="135"/>
      <c r="H1103" s="272">
        <v>1620</v>
      </c>
      <c r="I1103" s="272"/>
      <c r="J1103" s="135"/>
      <c r="K1103" s="125">
        <f t="shared" si="139"/>
        <v>1620</v>
      </c>
      <c r="L1103" s="125">
        <v>0</v>
      </c>
      <c r="M1103" s="125">
        <f t="shared" si="140"/>
        <v>0</v>
      </c>
      <c r="N1103" s="284"/>
      <c r="O1103" s="125">
        <f t="shared" si="141"/>
        <v>-1620</v>
      </c>
      <c r="P1103" s="284">
        <f t="shared" si="142"/>
        <v>-1</v>
      </c>
    </row>
    <row r="1104" spans="1:16">
      <c r="E1104" s="130"/>
      <c r="F1104" s="124"/>
      <c r="G1104" s="135"/>
      <c r="H1104" s="135"/>
      <c r="I1104" s="136"/>
      <c r="J1104" s="135"/>
      <c r="K1104" s="124">
        <f t="shared" si="139"/>
        <v>0</v>
      </c>
      <c r="L1104" s="124">
        <v>0</v>
      </c>
      <c r="M1104" s="124">
        <f t="shared" si="140"/>
        <v>0</v>
      </c>
      <c r="N1104" s="270"/>
      <c r="O1104" s="124">
        <f t="shared" si="141"/>
        <v>0</v>
      </c>
      <c r="P1104" s="270"/>
    </row>
    <row r="1105" spans="1:16" ht="39.6">
      <c r="A1105" s="77" t="s">
        <v>683</v>
      </c>
      <c r="B1105" s="77" t="s">
        <v>684</v>
      </c>
      <c r="C1105" s="537" t="s">
        <v>1013</v>
      </c>
      <c r="D1105" s="537" t="s">
        <v>992</v>
      </c>
      <c r="E1105" s="290" t="s">
        <v>720</v>
      </c>
      <c r="F1105" s="291">
        <v>62992</v>
      </c>
      <c r="G1105" s="135"/>
      <c r="H1105" s="135"/>
      <c r="I1105" s="136"/>
      <c r="J1105" s="135"/>
      <c r="K1105" s="291">
        <f t="shared" si="139"/>
        <v>62992</v>
      </c>
      <c r="L1105" s="291">
        <v>22080</v>
      </c>
      <c r="M1105" s="291">
        <f t="shared" si="140"/>
        <v>-40912</v>
      </c>
      <c r="N1105" s="282">
        <f t="shared" ref="N1105:N1158" si="143">M1105/F1105</f>
        <v>-0.64947929895859791</v>
      </c>
      <c r="O1105" s="291">
        <f t="shared" si="141"/>
        <v>-40912</v>
      </c>
      <c r="P1105" s="282">
        <f t="shared" si="142"/>
        <v>-0.64947929895859791</v>
      </c>
    </row>
    <row r="1106" spans="1:16">
      <c r="E1106" s="130" t="s">
        <v>47</v>
      </c>
      <c r="F1106" s="124">
        <v>36839</v>
      </c>
      <c r="G1106" s="135"/>
      <c r="H1106" s="135"/>
      <c r="I1106" s="136"/>
      <c r="J1106" s="135"/>
      <c r="K1106" s="124">
        <f t="shared" si="139"/>
        <v>36839</v>
      </c>
      <c r="L1106" s="125">
        <v>15350</v>
      </c>
      <c r="M1106" s="125">
        <f t="shared" si="140"/>
        <v>-21489</v>
      </c>
      <c r="N1106" s="284">
        <f t="shared" si="143"/>
        <v>-0.58332202285621215</v>
      </c>
      <c r="O1106" s="125">
        <f t="shared" si="141"/>
        <v>-21489</v>
      </c>
      <c r="P1106" s="284">
        <f t="shared" si="142"/>
        <v>-0.58332202285621215</v>
      </c>
    </row>
    <row r="1107" spans="1:16">
      <c r="E1107" s="306"/>
      <c r="F1107" s="515"/>
      <c r="G1107" s="135"/>
      <c r="H1107" s="135"/>
      <c r="I1107" s="136"/>
      <c r="J1107" s="135"/>
      <c r="K1107" s="515">
        <f t="shared" si="139"/>
        <v>0</v>
      </c>
      <c r="L1107" s="515">
        <v>0</v>
      </c>
      <c r="M1107" s="515">
        <f t="shared" si="140"/>
        <v>0</v>
      </c>
      <c r="N1107" s="651"/>
      <c r="O1107" s="515">
        <f t="shared" si="141"/>
        <v>0</v>
      </c>
      <c r="P1107" s="651"/>
    </row>
    <row r="1108" spans="1:16">
      <c r="E1108" s="307" t="s">
        <v>224</v>
      </c>
      <c r="F1108" s="125">
        <v>62992</v>
      </c>
      <c r="G1108" s="135"/>
      <c r="H1108" s="135"/>
      <c r="I1108" s="136"/>
      <c r="J1108" s="135"/>
      <c r="K1108" s="125">
        <f t="shared" si="139"/>
        <v>62992</v>
      </c>
      <c r="L1108" s="125">
        <v>22080</v>
      </c>
      <c r="M1108" s="125">
        <f t="shared" si="140"/>
        <v>-40912</v>
      </c>
      <c r="N1108" s="284">
        <f t="shared" si="143"/>
        <v>-0.64947929895859791</v>
      </c>
      <c r="O1108" s="125">
        <f t="shared" si="141"/>
        <v>-40912</v>
      </c>
      <c r="P1108" s="284">
        <f t="shared" si="142"/>
        <v>-0.64947929895859791</v>
      </c>
    </row>
    <row r="1109" spans="1:16">
      <c r="E1109" s="307"/>
      <c r="F1109" s="125"/>
      <c r="G1109" s="135"/>
      <c r="H1109" s="135"/>
      <c r="I1109" s="136"/>
      <c r="J1109" s="135"/>
      <c r="K1109" s="125">
        <f t="shared" si="139"/>
        <v>0</v>
      </c>
      <c r="L1109" s="125">
        <v>0</v>
      </c>
      <c r="M1109" s="125">
        <f t="shared" si="140"/>
        <v>0</v>
      </c>
      <c r="N1109" s="284"/>
      <c r="O1109" s="125">
        <f t="shared" si="141"/>
        <v>0</v>
      </c>
      <c r="P1109" s="284"/>
    </row>
    <row r="1110" spans="1:16" ht="39.6">
      <c r="A1110" s="77" t="s">
        <v>683</v>
      </c>
      <c r="B1110" s="77" t="s">
        <v>684</v>
      </c>
      <c r="C1110" s="537" t="s">
        <v>1013</v>
      </c>
      <c r="D1110" s="537" t="s">
        <v>992</v>
      </c>
      <c r="E1110" s="290" t="s">
        <v>928</v>
      </c>
      <c r="F1110" s="125"/>
      <c r="G1110" s="135"/>
      <c r="H1110" s="136">
        <f>100000+25000+30000</f>
        <v>155000</v>
      </c>
      <c r="I1110" s="136"/>
      <c r="J1110" s="135"/>
      <c r="K1110" s="291">
        <f t="shared" si="139"/>
        <v>155000</v>
      </c>
      <c r="L1110" s="291">
        <v>155000</v>
      </c>
      <c r="M1110" s="291">
        <f t="shared" si="140"/>
        <v>155000</v>
      </c>
      <c r="N1110" s="282"/>
      <c r="O1110" s="291">
        <f t="shared" si="141"/>
        <v>0</v>
      </c>
      <c r="P1110" s="282">
        <f t="shared" si="142"/>
        <v>0</v>
      </c>
    </row>
    <row r="1111" spans="1:16">
      <c r="E1111" s="130" t="s">
        <v>47</v>
      </c>
      <c r="F1111" s="125"/>
      <c r="G1111" s="135"/>
      <c r="H1111" s="272">
        <v>22422</v>
      </c>
      <c r="I1111" s="272"/>
      <c r="J1111" s="135"/>
      <c r="K1111" s="125">
        <f t="shared" si="139"/>
        <v>22422</v>
      </c>
      <c r="L1111" s="125">
        <v>22422</v>
      </c>
      <c r="M1111" s="125">
        <f t="shared" si="140"/>
        <v>22422</v>
      </c>
      <c r="N1111" s="284"/>
      <c r="O1111" s="125">
        <f t="shared" si="141"/>
        <v>0</v>
      </c>
      <c r="P1111" s="284">
        <f t="shared" si="142"/>
        <v>0</v>
      </c>
    </row>
    <row r="1112" spans="1:16">
      <c r="E1112" s="306"/>
      <c r="F1112" s="125"/>
      <c r="G1112" s="135"/>
      <c r="H1112" s="136"/>
      <c r="I1112" s="136"/>
      <c r="J1112" s="135"/>
      <c r="K1112" s="125">
        <f t="shared" si="139"/>
        <v>0</v>
      </c>
      <c r="L1112" s="125">
        <v>0</v>
      </c>
      <c r="M1112" s="125">
        <f t="shared" si="140"/>
        <v>0</v>
      </c>
      <c r="N1112" s="284"/>
      <c r="O1112" s="125">
        <f t="shared" si="141"/>
        <v>0</v>
      </c>
      <c r="P1112" s="284"/>
    </row>
    <row r="1113" spans="1:16">
      <c r="E1113" s="307" t="s">
        <v>929</v>
      </c>
      <c r="F1113" s="125"/>
      <c r="G1113" s="135"/>
      <c r="H1113" s="272">
        <f>50000+25000</f>
        <v>75000</v>
      </c>
      <c r="I1113" s="272"/>
      <c r="J1113" s="135"/>
      <c r="K1113" s="125">
        <f t="shared" si="139"/>
        <v>75000</v>
      </c>
      <c r="L1113" s="125">
        <v>75000</v>
      </c>
      <c r="M1113" s="125">
        <f t="shared" si="140"/>
        <v>75000</v>
      </c>
      <c r="N1113" s="284"/>
      <c r="O1113" s="125">
        <f t="shared" si="141"/>
        <v>0</v>
      </c>
      <c r="P1113" s="284">
        <f t="shared" si="142"/>
        <v>0</v>
      </c>
    </row>
    <row r="1114" spans="1:16" ht="26.4">
      <c r="A1114" s="77" t="s">
        <v>683</v>
      </c>
      <c r="B1114" s="77" t="s">
        <v>684</v>
      </c>
      <c r="C1114" s="537" t="s">
        <v>1013</v>
      </c>
      <c r="D1114" s="537"/>
      <c r="E1114" s="555" t="s">
        <v>1077</v>
      </c>
      <c r="F1114" s="125"/>
      <c r="G1114" s="135"/>
      <c r="H1114" s="272"/>
      <c r="I1114" s="136">
        <v>5000</v>
      </c>
      <c r="J1114" s="135"/>
      <c r="K1114" s="291">
        <f t="shared" si="139"/>
        <v>5000</v>
      </c>
      <c r="L1114" s="291">
        <v>218838</v>
      </c>
      <c r="M1114" s="291">
        <f t="shared" si="140"/>
        <v>218838</v>
      </c>
      <c r="N1114" s="282"/>
      <c r="O1114" s="291">
        <f t="shared" si="141"/>
        <v>213838</v>
      </c>
      <c r="P1114" s="282">
        <f t="shared" si="142"/>
        <v>42.767600000000002</v>
      </c>
    </row>
    <row r="1115" spans="1:16">
      <c r="E1115" s="528" t="s">
        <v>47</v>
      </c>
      <c r="F1115" s="125"/>
      <c r="G1115" s="135"/>
      <c r="H1115" s="272"/>
      <c r="I1115" s="272"/>
      <c r="J1115" s="135"/>
      <c r="K1115" s="125">
        <f t="shared" si="139"/>
        <v>0</v>
      </c>
      <c r="L1115" s="125">
        <v>15000</v>
      </c>
      <c r="M1115" s="125">
        <f t="shared" si="140"/>
        <v>15000</v>
      </c>
      <c r="N1115" s="284"/>
      <c r="O1115" s="125">
        <f t="shared" si="141"/>
        <v>15000</v>
      </c>
      <c r="P1115" s="284"/>
    </row>
    <row r="1116" spans="1:16">
      <c r="E1116" s="721"/>
      <c r="F1116" s="125"/>
      <c r="G1116" s="135"/>
      <c r="H1116" s="272"/>
      <c r="I1116" s="272"/>
      <c r="J1116" s="135"/>
      <c r="K1116" s="125">
        <f t="shared" si="139"/>
        <v>0</v>
      </c>
      <c r="L1116" s="125">
        <v>0</v>
      </c>
      <c r="M1116" s="125">
        <f t="shared" si="140"/>
        <v>0</v>
      </c>
      <c r="N1116" s="284"/>
      <c r="O1116" s="125">
        <f t="shared" si="141"/>
        <v>0</v>
      </c>
      <c r="P1116" s="284"/>
    </row>
    <row r="1117" spans="1:16">
      <c r="E1117" s="556" t="s">
        <v>1078</v>
      </c>
      <c r="F1117" s="125"/>
      <c r="G1117" s="135"/>
      <c r="H1117" s="272"/>
      <c r="I1117" s="272">
        <v>5000</v>
      </c>
      <c r="J1117" s="135"/>
      <c r="K1117" s="125">
        <f t="shared" si="139"/>
        <v>5000</v>
      </c>
      <c r="L1117" s="125">
        <v>218838</v>
      </c>
      <c r="M1117" s="125">
        <f t="shared" si="140"/>
        <v>218838</v>
      </c>
      <c r="N1117" s="284"/>
      <c r="O1117" s="125">
        <f t="shared" si="141"/>
        <v>213838</v>
      </c>
      <c r="P1117" s="284">
        <f t="shared" si="142"/>
        <v>42.767600000000002</v>
      </c>
    </row>
    <row r="1118" spans="1:16">
      <c r="E1118" s="307"/>
      <c r="F1118" s="125"/>
      <c r="G1118" s="135"/>
      <c r="H1118" s="135"/>
      <c r="I1118" s="136"/>
      <c r="J1118" s="135"/>
      <c r="K1118" s="125">
        <f t="shared" si="139"/>
        <v>0</v>
      </c>
      <c r="L1118" s="125">
        <v>0</v>
      </c>
      <c r="M1118" s="125">
        <f t="shared" si="140"/>
        <v>0</v>
      </c>
      <c r="N1118" s="284"/>
      <c r="O1118" s="125">
        <f t="shared" si="141"/>
        <v>0</v>
      </c>
      <c r="P1118" s="284"/>
    </row>
    <row r="1119" spans="1:16">
      <c r="A1119" s="77" t="s">
        <v>683</v>
      </c>
      <c r="B1119" s="77" t="s">
        <v>684</v>
      </c>
      <c r="C1119" s="537" t="s">
        <v>1013</v>
      </c>
      <c r="D1119" s="537" t="s">
        <v>963</v>
      </c>
      <c r="E1119" s="267" t="s">
        <v>356</v>
      </c>
      <c r="F1119" s="268">
        <v>44000</v>
      </c>
      <c r="G1119" s="135"/>
      <c r="H1119" s="135"/>
      <c r="I1119" s="136"/>
      <c r="J1119" s="135"/>
      <c r="K1119" s="268">
        <f t="shared" si="139"/>
        <v>44000</v>
      </c>
      <c r="L1119" s="268">
        <v>68500</v>
      </c>
      <c r="M1119" s="268">
        <f t="shared" si="140"/>
        <v>24500</v>
      </c>
      <c r="N1119" s="157">
        <f t="shared" si="143"/>
        <v>0.55681818181818177</v>
      </c>
      <c r="O1119" s="268">
        <f t="shared" si="141"/>
        <v>24500</v>
      </c>
      <c r="P1119" s="157">
        <f t="shared" si="142"/>
        <v>0.55681818181818177</v>
      </c>
    </row>
    <row r="1120" spans="1:16">
      <c r="E1120" s="267"/>
      <c r="F1120" s="268"/>
      <c r="G1120" s="135"/>
      <c r="H1120" s="135"/>
      <c r="I1120" s="136"/>
      <c r="J1120" s="135"/>
      <c r="K1120" s="268">
        <f t="shared" si="139"/>
        <v>0</v>
      </c>
      <c r="L1120" s="268">
        <v>0</v>
      </c>
      <c r="M1120" s="268">
        <f t="shared" si="140"/>
        <v>0</v>
      </c>
      <c r="N1120" s="157"/>
      <c r="O1120" s="268">
        <f t="shared" si="141"/>
        <v>0</v>
      </c>
      <c r="P1120" s="157"/>
    </row>
    <row r="1121" spans="1:16">
      <c r="A1121" s="77" t="s">
        <v>683</v>
      </c>
      <c r="B1121" s="77" t="s">
        <v>684</v>
      </c>
      <c r="C1121" s="537" t="s">
        <v>1013</v>
      </c>
      <c r="D1121" s="537" t="s">
        <v>963</v>
      </c>
      <c r="E1121" s="267" t="s">
        <v>357</v>
      </c>
      <c r="F1121" s="268">
        <v>20000</v>
      </c>
      <c r="G1121" s="135"/>
      <c r="H1121" s="135"/>
      <c r="I1121" s="136"/>
      <c r="J1121" s="135"/>
      <c r="K1121" s="268">
        <f t="shared" si="139"/>
        <v>20000</v>
      </c>
      <c r="L1121" s="268">
        <v>19600</v>
      </c>
      <c r="M1121" s="268">
        <f t="shared" si="140"/>
        <v>-400</v>
      </c>
      <c r="N1121" s="157">
        <f t="shared" si="143"/>
        <v>-0.02</v>
      </c>
      <c r="O1121" s="268">
        <f t="shared" si="141"/>
        <v>-400</v>
      </c>
      <c r="P1121" s="157">
        <f t="shared" si="142"/>
        <v>-0.02</v>
      </c>
    </row>
    <row r="1122" spans="1:16">
      <c r="E1122" s="267"/>
      <c r="F1122" s="268"/>
      <c r="G1122" s="135"/>
      <c r="H1122" s="135"/>
      <c r="I1122" s="136"/>
      <c r="J1122" s="135"/>
      <c r="K1122" s="268">
        <f t="shared" si="139"/>
        <v>0</v>
      </c>
      <c r="L1122" s="268">
        <v>0</v>
      </c>
      <c r="M1122" s="268">
        <f t="shared" si="140"/>
        <v>0</v>
      </c>
      <c r="N1122" s="157"/>
      <c r="O1122" s="268">
        <f t="shared" si="141"/>
        <v>0</v>
      </c>
      <c r="P1122" s="157"/>
    </row>
    <row r="1123" spans="1:16">
      <c r="E1123" s="267"/>
      <c r="F1123" s="268"/>
      <c r="G1123" s="135"/>
      <c r="H1123" s="135"/>
      <c r="I1123" s="136"/>
      <c r="J1123" s="135"/>
      <c r="K1123" s="268">
        <f t="shared" si="139"/>
        <v>0</v>
      </c>
      <c r="L1123" s="268">
        <v>0</v>
      </c>
      <c r="M1123" s="268">
        <f t="shared" si="140"/>
        <v>0</v>
      </c>
      <c r="N1123" s="157"/>
      <c r="O1123" s="268">
        <f t="shared" si="141"/>
        <v>0</v>
      </c>
      <c r="P1123" s="157"/>
    </row>
    <row r="1124" spans="1:16" ht="15.6">
      <c r="E1124" s="259" t="s">
        <v>404</v>
      </c>
      <c r="F1124" s="260"/>
      <c r="G1124" s="135"/>
      <c r="H1124" s="135"/>
      <c r="I1124" s="136"/>
      <c r="J1124" s="135"/>
      <c r="K1124" s="260">
        <f t="shared" si="139"/>
        <v>0</v>
      </c>
      <c r="L1124" s="260">
        <v>0</v>
      </c>
      <c r="M1124" s="260">
        <f t="shared" si="140"/>
        <v>0</v>
      </c>
      <c r="N1124" s="275"/>
      <c r="O1124" s="260">
        <f t="shared" si="141"/>
        <v>0</v>
      </c>
      <c r="P1124" s="275"/>
    </row>
    <row r="1125" spans="1:16">
      <c r="E1125" s="261"/>
      <c r="F1125" s="127"/>
      <c r="G1125" s="135"/>
      <c r="H1125" s="135"/>
      <c r="I1125" s="136"/>
      <c r="J1125" s="135"/>
      <c r="K1125" s="127">
        <f t="shared" si="139"/>
        <v>0</v>
      </c>
      <c r="L1125" s="127">
        <v>0</v>
      </c>
      <c r="M1125" s="127">
        <f t="shared" si="140"/>
        <v>0</v>
      </c>
      <c r="N1125" s="160"/>
      <c r="O1125" s="127">
        <f t="shared" si="141"/>
        <v>0</v>
      </c>
      <c r="P1125" s="160"/>
    </row>
    <row r="1126" spans="1:16">
      <c r="E1126" s="261" t="s">
        <v>98</v>
      </c>
      <c r="F1126" s="127">
        <f>SUM(F1135,F1146,F1167,F1189,F1192)</f>
        <v>63345331</v>
      </c>
      <c r="G1126" s="127">
        <f>SUM(G1135,G1146,G1167,G1189,G1192)</f>
        <v>3000000</v>
      </c>
      <c r="H1126" s="127">
        <f>SUM(H1135,H1146,H1167,H1189,H1192)</f>
        <v>1895938</v>
      </c>
      <c r="I1126" s="127">
        <f>SUM(I1135,I1146,I1167,I1189,I1192)</f>
        <v>22260</v>
      </c>
      <c r="J1126" s="127">
        <f>SUM(J1135,J1146,J1167,J1189,J1192)</f>
        <v>939936</v>
      </c>
      <c r="K1126" s="127">
        <f t="shared" si="139"/>
        <v>69203465</v>
      </c>
      <c r="L1126" s="127">
        <f>SUM(L1135,L1146,L1167,L1189,L1192)</f>
        <v>78042403</v>
      </c>
      <c r="M1126" s="127">
        <f t="shared" si="140"/>
        <v>14697072</v>
      </c>
      <c r="N1126" s="160">
        <f t="shared" si="143"/>
        <v>0.23201507937498977</v>
      </c>
      <c r="O1126" s="127">
        <f t="shared" si="141"/>
        <v>8838938</v>
      </c>
      <c r="P1126" s="160">
        <f t="shared" si="142"/>
        <v>0.12772392249434331</v>
      </c>
    </row>
    <row r="1127" spans="1:16">
      <c r="E1127" s="262" t="s">
        <v>359</v>
      </c>
      <c r="F1127" s="128">
        <v>16648568</v>
      </c>
      <c r="G1127" s="128"/>
      <c r="H1127" s="128"/>
      <c r="I1127" s="128"/>
      <c r="J1127" s="128"/>
      <c r="K1127" s="128">
        <f t="shared" si="139"/>
        <v>16648568</v>
      </c>
      <c r="L1127" s="128">
        <v>16983080</v>
      </c>
      <c r="M1127" s="128">
        <f t="shared" si="140"/>
        <v>334512</v>
      </c>
      <c r="N1127" s="91">
        <f t="shared" si="143"/>
        <v>2.0092538889831247E-2</v>
      </c>
      <c r="O1127" s="128">
        <f t="shared" si="141"/>
        <v>334512</v>
      </c>
      <c r="P1127" s="91">
        <f t="shared" si="142"/>
        <v>2.0092538889831247E-2</v>
      </c>
    </row>
    <row r="1128" spans="1:16">
      <c r="E1128" s="261" t="s">
        <v>44</v>
      </c>
      <c r="F1128" s="127">
        <f>SUM(F1129:F1132)</f>
        <v>63345331</v>
      </c>
      <c r="G1128" s="127">
        <f>SUM(G1129:G1132)</f>
        <v>3000000</v>
      </c>
      <c r="H1128" s="127">
        <f>SUM(H1129:H1132)</f>
        <v>1895938</v>
      </c>
      <c r="I1128" s="127">
        <f>SUM(I1129:I1132)</f>
        <v>22260</v>
      </c>
      <c r="J1128" s="127">
        <f>SUM(J1129:J1132)</f>
        <v>939936</v>
      </c>
      <c r="K1128" s="127">
        <f t="shared" si="139"/>
        <v>69203465</v>
      </c>
      <c r="L1128" s="127">
        <f>SUM(L1129:L1132)</f>
        <v>78042403</v>
      </c>
      <c r="M1128" s="127">
        <f t="shared" si="140"/>
        <v>14697072</v>
      </c>
      <c r="N1128" s="160">
        <f t="shared" si="143"/>
        <v>0.23201507937498977</v>
      </c>
      <c r="O1128" s="127">
        <f t="shared" si="141"/>
        <v>8838938</v>
      </c>
      <c r="P1128" s="160">
        <f t="shared" si="142"/>
        <v>0.12772392249434331</v>
      </c>
    </row>
    <row r="1129" spans="1:16">
      <c r="E1129" s="262" t="s">
        <v>45</v>
      </c>
      <c r="F1129" s="128">
        <v>3622320</v>
      </c>
      <c r="G1129" s="128"/>
      <c r="H1129" s="128">
        <v>-21486</v>
      </c>
      <c r="I1129" s="128">
        <v>161850</v>
      </c>
      <c r="J1129" s="128"/>
      <c r="K1129" s="128">
        <f t="shared" si="139"/>
        <v>3762684</v>
      </c>
      <c r="L1129" s="128">
        <v>4094886</v>
      </c>
      <c r="M1129" s="128">
        <f t="shared" si="140"/>
        <v>472566</v>
      </c>
      <c r="N1129" s="91">
        <f t="shared" si="143"/>
        <v>0.13045948452925196</v>
      </c>
      <c r="O1129" s="128">
        <f t="shared" si="141"/>
        <v>332202</v>
      </c>
      <c r="P1129" s="91">
        <f t="shared" si="142"/>
        <v>8.8288572731592657E-2</v>
      </c>
    </row>
    <row r="1130" spans="1:16">
      <c r="E1130" s="263" t="s">
        <v>33</v>
      </c>
      <c r="F1130" s="128">
        <v>46857</v>
      </c>
      <c r="G1130" s="128"/>
      <c r="H1130" s="128"/>
      <c r="I1130" s="128"/>
      <c r="J1130" s="128"/>
      <c r="K1130" s="128">
        <f t="shared" si="139"/>
        <v>46857</v>
      </c>
      <c r="L1130" s="128">
        <v>15000</v>
      </c>
      <c r="M1130" s="128">
        <f t="shared" si="140"/>
        <v>-31857</v>
      </c>
      <c r="N1130" s="91">
        <f t="shared" si="143"/>
        <v>-0.67987707279595366</v>
      </c>
      <c r="O1130" s="128">
        <f t="shared" si="141"/>
        <v>-31857</v>
      </c>
      <c r="P1130" s="91">
        <f t="shared" si="142"/>
        <v>-0.67987707279595366</v>
      </c>
    </row>
    <row r="1131" spans="1:16">
      <c r="E1131" s="263" t="s">
        <v>506</v>
      </c>
      <c r="F1131" s="128">
        <v>4393</v>
      </c>
      <c r="G1131" s="128"/>
      <c r="H1131" s="128"/>
      <c r="I1131" s="128"/>
      <c r="J1131" s="128"/>
      <c r="K1131" s="128">
        <f t="shared" si="139"/>
        <v>4393</v>
      </c>
      <c r="L1131" s="128">
        <v>1684</v>
      </c>
      <c r="M1131" s="128">
        <f t="shared" si="140"/>
        <v>-2709</v>
      </c>
      <c r="N1131" s="91">
        <f t="shared" si="143"/>
        <v>-0.61666287275210563</v>
      </c>
      <c r="O1131" s="128">
        <f t="shared" si="141"/>
        <v>-2709</v>
      </c>
      <c r="P1131" s="91">
        <f t="shared" si="142"/>
        <v>-0.61666287275210563</v>
      </c>
    </row>
    <row r="1132" spans="1:16">
      <c r="E1132" s="263" t="s">
        <v>46</v>
      </c>
      <c r="F1132" s="128">
        <f>F1126-F1129-F1130-F1131</f>
        <v>59671761</v>
      </c>
      <c r="G1132" s="128">
        <f>G1126-G1129-G1130-G1131</f>
        <v>3000000</v>
      </c>
      <c r="H1132" s="128">
        <f>H1126-H1129-H1130-H1131</f>
        <v>1917424</v>
      </c>
      <c r="I1132" s="128">
        <f>I1126-I1129-I1130-I1131</f>
        <v>-139590</v>
      </c>
      <c r="J1132" s="128">
        <f>J1126-J1129-J1130-J1131</f>
        <v>939936</v>
      </c>
      <c r="K1132" s="128">
        <f t="shared" si="139"/>
        <v>65389531</v>
      </c>
      <c r="L1132" s="128">
        <f>L1126-L1129-L1130-L1131</f>
        <v>73930833</v>
      </c>
      <c r="M1132" s="128">
        <f t="shared" si="140"/>
        <v>14259072</v>
      </c>
      <c r="N1132" s="91">
        <f t="shared" si="143"/>
        <v>0.23895845808874319</v>
      </c>
      <c r="O1132" s="128">
        <f t="shared" si="141"/>
        <v>8541302</v>
      </c>
      <c r="P1132" s="91">
        <f t="shared" si="142"/>
        <v>0.13062185749581229</v>
      </c>
    </row>
    <row r="1133" spans="1:16" s="10" customFormat="1">
      <c r="A1133" s="135"/>
      <c r="B1133" s="135"/>
      <c r="C1133" s="482"/>
      <c r="D1133" s="482"/>
      <c r="E1133" s="264" t="s">
        <v>718</v>
      </c>
      <c r="F1133" s="129">
        <f>F1137+F1144+F1148+F1169+F1181+F1195+F1208+F1215+F1232+F1238</f>
        <v>7796380</v>
      </c>
      <c r="G1133" s="129">
        <f>G1137+G1144+G1148+G1169+G1181+G1195+G1208+G1215+G1232+G1238</f>
        <v>0</v>
      </c>
      <c r="H1133" s="129">
        <f>H1137+H1144+H1148+H1169+H1181+H1195+H1208+H1215+H1232+H1238</f>
        <v>66213</v>
      </c>
      <c r="I1133" s="129">
        <f>I1137+I1144+I1148+I1169+I1181+I1195+I1208+I1215+I1232+I1238</f>
        <v>93889</v>
      </c>
      <c r="J1133" s="129">
        <f>J1137+J1144+J1148+J1169+J1181+J1195+J1208+J1215+J1232+J1238</f>
        <v>702494</v>
      </c>
      <c r="K1133" s="129">
        <f t="shared" si="139"/>
        <v>8658976</v>
      </c>
      <c r="L1133" s="129">
        <f>L1137+L1144+L1148+L1169+L1181+L1195+L1208+L1215+L1232+L1238</f>
        <v>9208661.1999999993</v>
      </c>
      <c r="M1133" s="129">
        <f t="shared" si="140"/>
        <v>1412281.1999999993</v>
      </c>
      <c r="N1133" s="265">
        <f t="shared" si="143"/>
        <v>0.18114576252055431</v>
      </c>
      <c r="O1133" s="129">
        <f t="shared" si="141"/>
        <v>549685.19999999925</v>
      </c>
      <c r="P1133" s="265">
        <f t="shared" si="142"/>
        <v>6.3481547933612381E-2</v>
      </c>
    </row>
    <row r="1134" spans="1:16">
      <c r="E1134" s="428"/>
      <c r="F1134" s="128"/>
      <c r="G1134" s="135"/>
      <c r="H1134" s="135"/>
      <c r="I1134" s="135"/>
      <c r="J1134" s="135"/>
      <c r="K1134" s="128">
        <f t="shared" si="139"/>
        <v>0</v>
      </c>
      <c r="L1134" s="128">
        <v>0</v>
      </c>
      <c r="M1134" s="128">
        <f t="shared" si="140"/>
        <v>0</v>
      </c>
      <c r="N1134" s="91"/>
      <c r="O1134" s="128">
        <f t="shared" si="141"/>
        <v>0</v>
      </c>
      <c r="P1134" s="91"/>
    </row>
    <row r="1135" spans="1:16" ht="13.8">
      <c r="A1135" s="77" t="s">
        <v>672</v>
      </c>
      <c r="B1135" s="77" t="s">
        <v>685</v>
      </c>
      <c r="E1135" s="344" t="s">
        <v>103</v>
      </c>
      <c r="F1135" s="126">
        <f>SUM(F1136,F1143)</f>
        <v>7098811</v>
      </c>
      <c r="G1135" s="126">
        <f t="shared" ref="G1135:I1135" si="144">SUM(G1136,G1143)</f>
        <v>0</v>
      </c>
      <c r="H1135" s="126">
        <f t="shared" si="144"/>
        <v>18718</v>
      </c>
      <c r="I1135" s="126">
        <f t="shared" si="144"/>
        <v>101487</v>
      </c>
      <c r="J1135" s="126">
        <f>SUM(J1136,J1143)</f>
        <v>371021</v>
      </c>
      <c r="K1135" s="126">
        <f t="shared" si="139"/>
        <v>7590037</v>
      </c>
      <c r="L1135" s="126">
        <f>SUM(L1136,L1143)</f>
        <v>7963426</v>
      </c>
      <c r="M1135" s="126">
        <f t="shared" si="140"/>
        <v>864615</v>
      </c>
      <c r="N1135" s="313">
        <f t="shared" si="143"/>
        <v>0.1217971572985955</v>
      </c>
      <c r="O1135" s="126">
        <f t="shared" si="141"/>
        <v>373389</v>
      </c>
      <c r="P1135" s="313">
        <f t="shared" si="142"/>
        <v>4.919462184439944E-2</v>
      </c>
    </row>
    <row r="1136" spans="1:16">
      <c r="C1136" s="537" t="s">
        <v>1001</v>
      </c>
      <c r="D1136" s="537" t="s">
        <v>962</v>
      </c>
      <c r="E1136" s="363" t="s">
        <v>535</v>
      </c>
      <c r="F1136" s="364">
        <f>SUM(F1140)</f>
        <v>5558715</v>
      </c>
      <c r="G1136" s="364">
        <f t="shared" ref="G1136:I1137" si="145">SUM(G1140)</f>
        <v>0</v>
      </c>
      <c r="H1136" s="364">
        <f t="shared" si="145"/>
        <v>11245</v>
      </c>
      <c r="I1136" s="364">
        <f t="shared" si="145"/>
        <v>21400</v>
      </c>
      <c r="J1136" s="364">
        <v>296778</v>
      </c>
      <c r="K1136" s="364">
        <f t="shared" si="139"/>
        <v>5888138</v>
      </c>
      <c r="L1136" s="364">
        <v>6369896</v>
      </c>
      <c r="M1136" s="364">
        <f t="shared" si="140"/>
        <v>811181</v>
      </c>
      <c r="N1136" s="160">
        <f t="shared" si="143"/>
        <v>0.14592958984225671</v>
      </c>
      <c r="O1136" s="364">
        <f t="shared" si="141"/>
        <v>481758</v>
      </c>
      <c r="P1136" s="160">
        <f t="shared" si="142"/>
        <v>8.1818394881369966E-2</v>
      </c>
    </row>
    <row r="1137" spans="1:16">
      <c r="E1137" s="132" t="s">
        <v>47</v>
      </c>
      <c r="F1137" s="124">
        <f>SUM(F1141)</f>
        <v>2578928</v>
      </c>
      <c r="G1137" s="124">
        <f t="shared" si="145"/>
        <v>0</v>
      </c>
      <c r="H1137" s="124">
        <f t="shared" si="145"/>
        <v>0</v>
      </c>
      <c r="I1137" s="124"/>
      <c r="J1137" s="124">
        <v>221808</v>
      </c>
      <c r="K1137" s="124">
        <f t="shared" si="139"/>
        <v>2800736</v>
      </c>
      <c r="L1137" s="124">
        <v>3009078</v>
      </c>
      <c r="M1137" s="124">
        <f t="shared" si="140"/>
        <v>430150</v>
      </c>
      <c r="N1137" s="270">
        <f t="shared" si="143"/>
        <v>0.16679410980066137</v>
      </c>
      <c r="O1137" s="124">
        <f t="shared" si="141"/>
        <v>208342</v>
      </c>
      <c r="P1137" s="270">
        <f t="shared" si="142"/>
        <v>7.4388303645898796E-2</v>
      </c>
    </row>
    <row r="1138" spans="1:16">
      <c r="E1138" s="132"/>
      <c r="F1138" s="124"/>
      <c r="G1138" s="135"/>
      <c r="H1138" s="135"/>
      <c r="I1138" s="136"/>
      <c r="J1138" s="124"/>
      <c r="K1138" s="124">
        <f t="shared" si="139"/>
        <v>0</v>
      </c>
      <c r="L1138" s="124">
        <v>0</v>
      </c>
      <c r="M1138" s="124">
        <f t="shared" si="140"/>
        <v>0</v>
      </c>
      <c r="N1138" s="270"/>
      <c r="O1138" s="124">
        <f t="shared" si="141"/>
        <v>0</v>
      </c>
      <c r="P1138" s="270"/>
    </row>
    <row r="1139" spans="1:16">
      <c r="E1139" s="315" t="s">
        <v>101</v>
      </c>
      <c r="F1139" s="124"/>
      <c r="G1139" s="135"/>
      <c r="H1139" s="135"/>
      <c r="I1139" s="136"/>
      <c r="J1139" s="124"/>
      <c r="K1139" s="124">
        <f t="shared" si="139"/>
        <v>0</v>
      </c>
      <c r="L1139" s="124">
        <v>0</v>
      </c>
      <c r="M1139" s="124">
        <f t="shared" si="140"/>
        <v>0</v>
      </c>
      <c r="N1139" s="270"/>
      <c r="O1139" s="124">
        <f t="shared" si="141"/>
        <v>0</v>
      </c>
      <c r="P1139" s="270"/>
    </row>
    <row r="1140" spans="1:16" s="10" customFormat="1">
      <c r="A1140" s="135"/>
      <c r="B1140" s="135"/>
      <c r="C1140" s="482"/>
      <c r="D1140" s="482"/>
      <c r="E1140" s="432" t="s">
        <v>930</v>
      </c>
      <c r="F1140" s="510">
        <f>5521050+5553+32112</f>
        <v>5558715</v>
      </c>
      <c r="G1140" s="135"/>
      <c r="H1140" s="510">
        <v>11245</v>
      </c>
      <c r="I1140" s="510">
        <v>21400</v>
      </c>
      <c r="J1140" s="510"/>
      <c r="K1140" s="510">
        <f t="shared" si="139"/>
        <v>5591360</v>
      </c>
      <c r="L1140" s="510">
        <v>6369896</v>
      </c>
      <c r="M1140" s="510">
        <f t="shared" si="140"/>
        <v>811181</v>
      </c>
      <c r="N1140" s="157">
        <f t="shared" si="143"/>
        <v>0.14592958984225671</v>
      </c>
      <c r="O1140" s="510">
        <f t="shared" si="141"/>
        <v>778536</v>
      </c>
      <c r="P1140" s="157">
        <f t="shared" si="142"/>
        <v>0.13923911177244891</v>
      </c>
    </row>
    <row r="1141" spans="1:16">
      <c r="E1141" s="323" t="s">
        <v>47</v>
      </c>
      <c r="F1141" s="124">
        <f>2550778+4150+24000</f>
        <v>2578928</v>
      </c>
      <c r="G1141" s="135"/>
      <c r="H1141" s="135"/>
      <c r="I1141" s="136"/>
      <c r="J1141" s="124"/>
      <c r="K1141" s="124">
        <f t="shared" si="139"/>
        <v>2578928</v>
      </c>
      <c r="L1141" s="124">
        <v>3009078</v>
      </c>
      <c r="M1141" s="124">
        <f t="shared" si="140"/>
        <v>430150</v>
      </c>
      <c r="N1141" s="270">
        <f t="shared" si="143"/>
        <v>0.16679410980066137</v>
      </c>
      <c r="O1141" s="124">
        <f t="shared" si="141"/>
        <v>430150</v>
      </c>
      <c r="P1141" s="270">
        <f t="shared" si="142"/>
        <v>0.16679410980066137</v>
      </c>
    </row>
    <row r="1142" spans="1:16" s="10" customFormat="1">
      <c r="A1142" s="135"/>
      <c r="B1142" s="135"/>
      <c r="C1142" s="482"/>
      <c r="D1142" s="482"/>
      <c r="E1142" s="323"/>
      <c r="F1142" s="353"/>
      <c r="G1142" s="135"/>
      <c r="H1142" s="135"/>
      <c r="I1142" s="136"/>
      <c r="J1142" s="135"/>
      <c r="K1142" s="353">
        <f t="shared" si="139"/>
        <v>0</v>
      </c>
      <c r="L1142" s="353">
        <v>0</v>
      </c>
      <c r="M1142" s="353">
        <f t="shared" si="140"/>
        <v>0</v>
      </c>
      <c r="N1142" s="287"/>
      <c r="O1142" s="353">
        <f t="shared" si="141"/>
        <v>0</v>
      </c>
      <c r="P1142" s="287"/>
    </row>
    <row r="1143" spans="1:16">
      <c r="C1143" s="537" t="s">
        <v>1001</v>
      </c>
      <c r="D1143" s="537" t="s">
        <v>962</v>
      </c>
      <c r="E1143" s="339" t="s">
        <v>536</v>
      </c>
      <c r="F1143" s="123">
        <f>1527050+13046</f>
        <v>1540096</v>
      </c>
      <c r="G1143" s="135"/>
      <c r="H1143" s="123">
        <v>7473</v>
      </c>
      <c r="I1143" s="123">
        <f>(52900+12000)+15187</f>
        <v>80087</v>
      </c>
      <c r="J1143" s="364">
        <v>74243</v>
      </c>
      <c r="K1143" s="123">
        <f t="shared" si="139"/>
        <v>1701899</v>
      </c>
      <c r="L1143" s="123">
        <v>1593530</v>
      </c>
      <c r="M1143" s="123">
        <f t="shared" si="140"/>
        <v>53434</v>
      </c>
      <c r="N1143" s="160">
        <f t="shared" si="143"/>
        <v>3.4695239777260641E-2</v>
      </c>
      <c r="O1143" s="123">
        <f t="shared" si="141"/>
        <v>-108369</v>
      </c>
      <c r="P1143" s="160">
        <f t="shared" si="142"/>
        <v>-6.3675341486186907E-2</v>
      </c>
    </row>
    <row r="1144" spans="1:16">
      <c r="E1144" s="132" t="s">
        <v>47</v>
      </c>
      <c r="F1144" s="124">
        <f>804756+9750</f>
        <v>814506</v>
      </c>
      <c r="G1144" s="135"/>
      <c r="H1144" s="124">
        <v>1473</v>
      </c>
      <c r="I1144" s="138">
        <f>(14947+5000)+11350</f>
        <v>31297</v>
      </c>
      <c r="J1144" s="124">
        <v>55488</v>
      </c>
      <c r="K1144" s="124">
        <f t="shared" si="139"/>
        <v>902764</v>
      </c>
      <c r="L1144" s="124">
        <v>882095</v>
      </c>
      <c r="M1144" s="124">
        <f t="shared" si="140"/>
        <v>67589</v>
      </c>
      <c r="N1144" s="270">
        <f t="shared" si="143"/>
        <v>8.2981586384876238E-2</v>
      </c>
      <c r="O1144" s="124">
        <f t="shared" si="141"/>
        <v>-20669</v>
      </c>
      <c r="P1144" s="270">
        <f t="shared" si="142"/>
        <v>-2.2895241724304471E-2</v>
      </c>
    </row>
    <row r="1145" spans="1:16" s="10" customFormat="1">
      <c r="A1145" s="135"/>
      <c r="B1145" s="135"/>
      <c r="C1145" s="482"/>
      <c r="D1145" s="482"/>
      <c r="E1145" s="334"/>
      <c r="F1145" s="335"/>
      <c r="G1145" s="135"/>
      <c r="H1145" s="135"/>
      <c r="I1145" s="136"/>
      <c r="J1145" s="135"/>
      <c r="K1145" s="335">
        <f t="shared" si="139"/>
        <v>0</v>
      </c>
      <c r="L1145" s="335">
        <v>0</v>
      </c>
      <c r="M1145" s="335">
        <f t="shared" si="140"/>
        <v>0</v>
      </c>
      <c r="N1145" s="322"/>
      <c r="O1145" s="335">
        <f t="shared" si="141"/>
        <v>0</v>
      </c>
      <c r="P1145" s="322"/>
    </row>
    <row r="1146" spans="1:16" ht="13.8">
      <c r="A1146" s="77" t="s">
        <v>686</v>
      </c>
      <c r="B1146" s="77" t="s">
        <v>685</v>
      </c>
      <c r="E1146" s="310" t="s">
        <v>274</v>
      </c>
      <c r="F1146" s="311">
        <f>SUM(F1147,F1162)</f>
        <v>38791520</v>
      </c>
      <c r="G1146" s="311">
        <f>SUM(G1147,G1162)</f>
        <v>3000000</v>
      </c>
      <c r="H1146" s="311">
        <f>SUM(H1147,H1162)</f>
        <v>911199</v>
      </c>
      <c r="I1146" s="311">
        <f>SUM(I1147,I1162)</f>
        <v>9990</v>
      </c>
      <c r="J1146" s="311">
        <f>SUM(J1147,J1162)</f>
        <v>24445</v>
      </c>
      <c r="K1146" s="311">
        <f t="shared" si="139"/>
        <v>42737154</v>
      </c>
      <c r="L1146" s="311">
        <f>SUM(L1147,L1162)</f>
        <v>51205579</v>
      </c>
      <c r="M1146" s="311">
        <f t="shared" si="140"/>
        <v>12414059</v>
      </c>
      <c r="N1146" s="313">
        <f t="shared" si="143"/>
        <v>0.32001991672406754</v>
      </c>
      <c r="O1146" s="311">
        <f t="shared" si="141"/>
        <v>8468425</v>
      </c>
      <c r="P1146" s="313">
        <f t="shared" si="142"/>
        <v>0.198151355609688</v>
      </c>
    </row>
    <row r="1147" spans="1:16">
      <c r="C1147" s="537" t="s">
        <v>1013</v>
      </c>
      <c r="D1147" s="537" t="s">
        <v>948</v>
      </c>
      <c r="E1147" s="339" t="s">
        <v>275</v>
      </c>
      <c r="F1147" s="123">
        <f>SUM(F1150,F1153,F1158,F1160)</f>
        <v>29466020</v>
      </c>
      <c r="G1147" s="123">
        <f>SUM(G1150,G1153,G1158,G1160)</f>
        <v>3000000</v>
      </c>
      <c r="H1147" s="123">
        <f>SUM(H1150,H1153,H1158,H1160)</f>
        <v>911199</v>
      </c>
      <c r="I1147" s="123">
        <f>SUM(I1150,I1153,I1158,I1160)</f>
        <v>-990010</v>
      </c>
      <c r="J1147" s="123">
        <f>SUM(J1150,J1153,J1158,J1160)</f>
        <v>24445</v>
      </c>
      <c r="K1147" s="123">
        <f t="shared" si="139"/>
        <v>32411654</v>
      </c>
      <c r="L1147" s="123">
        <f>SUM(L1150,L1153,L1158,L1160)</f>
        <v>41880079</v>
      </c>
      <c r="M1147" s="123">
        <f t="shared" si="140"/>
        <v>12414059</v>
      </c>
      <c r="N1147" s="160">
        <f t="shared" si="143"/>
        <v>0.42130084076505753</v>
      </c>
      <c r="O1147" s="123">
        <f t="shared" si="141"/>
        <v>9468425</v>
      </c>
      <c r="P1147" s="160">
        <f t="shared" si="142"/>
        <v>0.29213026277523513</v>
      </c>
    </row>
    <row r="1148" spans="1:16">
      <c r="E1148" s="132" t="s">
        <v>47</v>
      </c>
      <c r="F1148" s="124">
        <f>SUM(F1154)</f>
        <v>538492</v>
      </c>
      <c r="G1148" s="135"/>
      <c r="H1148" s="124">
        <f>SUM(H1154)</f>
        <v>83400</v>
      </c>
      <c r="I1148" s="124">
        <f>SUM(I1154)</f>
        <v>0</v>
      </c>
      <c r="J1148" s="124">
        <f>SUM(J1154)</f>
        <v>18270</v>
      </c>
      <c r="K1148" s="124">
        <f t="shared" si="139"/>
        <v>640162</v>
      </c>
      <c r="L1148" s="124">
        <f>SUM(L1154)</f>
        <v>729983</v>
      </c>
      <c r="M1148" s="124">
        <f t="shared" si="140"/>
        <v>191491</v>
      </c>
      <c r="N1148" s="270">
        <f t="shared" si="143"/>
        <v>0.35560602571625949</v>
      </c>
      <c r="O1148" s="124">
        <f t="shared" si="141"/>
        <v>89821</v>
      </c>
      <c r="P1148" s="270">
        <f t="shared" si="142"/>
        <v>0.14030979658273998</v>
      </c>
    </row>
    <row r="1149" spans="1:16">
      <c r="E1149" s="315" t="s">
        <v>101</v>
      </c>
      <c r="F1149" s="123"/>
      <c r="G1149" s="135"/>
      <c r="H1149" s="135"/>
      <c r="I1149" s="136"/>
      <c r="J1149" s="123"/>
      <c r="K1149" s="123">
        <f t="shared" si="139"/>
        <v>0</v>
      </c>
      <c r="L1149" s="123">
        <v>0</v>
      </c>
      <c r="M1149" s="123">
        <f t="shared" si="140"/>
        <v>0</v>
      </c>
      <c r="N1149" s="160"/>
      <c r="O1149" s="123">
        <f t="shared" si="141"/>
        <v>0</v>
      </c>
      <c r="P1149" s="160"/>
    </row>
    <row r="1150" spans="1:16">
      <c r="E1150" s="37" t="s">
        <v>276</v>
      </c>
      <c r="F1150" s="47">
        <v>10707015</v>
      </c>
      <c r="G1150" s="135"/>
      <c r="H1150" s="47">
        <v>12041</v>
      </c>
      <c r="I1150" s="136">
        <v>-1500000</v>
      </c>
      <c r="J1150" s="47"/>
      <c r="K1150" s="47">
        <f t="shared" si="139"/>
        <v>9219056</v>
      </c>
      <c r="L1150" s="47">
        <v>9608515</v>
      </c>
      <c r="M1150" s="47">
        <f t="shared" si="140"/>
        <v>-1098500</v>
      </c>
      <c r="N1150" s="96">
        <f t="shared" si="143"/>
        <v>-0.10259628850804822</v>
      </c>
      <c r="O1150" s="47">
        <f t="shared" si="141"/>
        <v>389459</v>
      </c>
      <c r="P1150" s="96">
        <f t="shared" si="142"/>
        <v>4.2244997752481382E-2</v>
      </c>
    </row>
    <row r="1151" spans="1:16" s="10" customFormat="1">
      <c r="A1151" s="135"/>
      <c r="B1151" s="135"/>
      <c r="C1151" s="482"/>
      <c r="D1151" s="482"/>
      <c r="E1151" s="334"/>
      <c r="F1151" s="335"/>
      <c r="G1151" s="135"/>
      <c r="H1151" s="135"/>
      <c r="I1151" s="136"/>
      <c r="J1151" s="335"/>
      <c r="K1151" s="335">
        <f t="shared" si="139"/>
        <v>0</v>
      </c>
      <c r="L1151" s="335">
        <v>0</v>
      </c>
      <c r="M1151" s="335">
        <f t="shared" si="140"/>
        <v>0</v>
      </c>
      <c r="N1151" s="322"/>
      <c r="O1151" s="335">
        <f t="shared" si="141"/>
        <v>0</v>
      </c>
      <c r="P1151" s="322"/>
    </row>
    <row r="1152" spans="1:16">
      <c r="E1152" s="315" t="s">
        <v>101</v>
      </c>
      <c r="F1152" s="123"/>
      <c r="G1152" s="135"/>
      <c r="H1152" s="135"/>
      <c r="I1152" s="136"/>
      <c r="J1152" s="123"/>
      <c r="K1152" s="123">
        <f t="shared" si="139"/>
        <v>0</v>
      </c>
      <c r="L1152" s="123">
        <v>0</v>
      </c>
      <c r="M1152" s="123">
        <f t="shared" si="140"/>
        <v>0</v>
      </c>
      <c r="N1152" s="160"/>
      <c r="O1152" s="123">
        <f t="shared" si="141"/>
        <v>0</v>
      </c>
      <c r="P1152" s="160"/>
    </row>
    <row r="1153" spans="1:16">
      <c r="E1153" s="37" t="s">
        <v>419</v>
      </c>
      <c r="F1153" s="47">
        <f>17209995+382010</f>
        <v>17592005</v>
      </c>
      <c r="G1153" s="135"/>
      <c r="H1153" s="47">
        <f>597558+301600</f>
        <v>899158</v>
      </c>
      <c r="I1153" s="136">
        <f>557968+2022</f>
        <v>559990</v>
      </c>
      <c r="J1153" s="47">
        <v>24445</v>
      </c>
      <c r="K1153" s="47">
        <f t="shared" si="139"/>
        <v>19075598</v>
      </c>
      <c r="L1153" s="47">
        <v>31104564</v>
      </c>
      <c r="M1153" s="47">
        <f t="shared" si="140"/>
        <v>13512559</v>
      </c>
      <c r="N1153" s="96">
        <f t="shared" si="143"/>
        <v>0.76810795585835723</v>
      </c>
      <c r="O1153" s="47">
        <f t="shared" si="141"/>
        <v>12028966</v>
      </c>
      <c r="P1153" s="96">
        <f t="shared" si="142"/>
        <v>0.63059443798301895</v>
      </c>
    </row>
    <row r="1154" spans="1:16">
      <c r="E1154" s="323" t="s">
        <v>47</v>
      </c>
      <c r="F1154" s="124">
        <v>538492</v>
      </c>
      <c r="G1154" s="135"/>
      <c r="H1154" s="124">
        <v>83400</v>
      </c>
      <c r="I1154" s="124"/>
      <c r="J1154" s="124">
        <v>18270</v>
      </c>
      <c r="K1154" s="124">
        <f t="shared" si="139"/>
        <v>640162</v>
      </c>
      <c r="L1154" s="124">
        <v>729983</v>
      </c>
      <c r="M1154" s="124">
        <f t="shared" si="140"/>
        <v>191491</v>
      </c>
      <c r="N1154" s="270">
        <f t="shared" si="143"/>
        <v>0.35560602571625949</v>
      </c>
      <c r="O1154" s="124">
        <f t="shared" si="141"/>
        <v>89821</v>
      </c>
      <c r="P1154" s="270">
        <f t="shared" si="142"/>
        <v>0.14030979658273998</v>
      </c>
    </row>
    <row r="1155" spans="1:16">
      <c r="E1155" s="67" t="s">
        <v>420</v>
      </c>
      <c r="F1155" s="49">
        <v>1449504</v>
      </c>
      <c r="G1155" s="135"/>
      <c r="H1155" s="49">
        <v>301600</v>
      </c>
      <c r="I1155" s="49"/>
      <c r="J1155" s="49">
        <v>24445</v>
      </c>
      <c r="K1155" s="49">
        <f t="shared" si="139"/>
        <v>1775549</v>
      </c>
      <c r="L1155" s="49">
        <v>1957586</v>
      </c>
      <c r="M1155" s="49">
        <f t="shared" si="140"/>
        <v>508082</v>
      </c>
      <c r="N1155" s="98">
        <f t="shared" si="143"/>
        <v>0.35052128176258912</v>
      </c>
      <c r="O1155" s="49">
        <f t="shared" si="141"/>
        <v>182037</v>
      </c>
      <c r="P1155" s="98">
        <f t="shared" si="142"/>
        <v>0.10252434599101461</v>
      </c>
    </row>
    <row r="1156" spans="1:16" s="147" customFormat="1">
      <c r="C1156" s="536"/>
      <c r="D1156" s="536"/>
      <c r="E1156" s="334"/>
      <c r="F1156" s="335"/>
      <c r="I1156" s="309"/>
      <c r="K1156" s="335">
        <f t="shared" si="139"/>
        <v>0</v>
      </c>
      <c r="L1156" s="335">
        <v>0</v>
      </c>
      <c r="M1156" s="335">
        <f t="shared" si="140"/>
        <v>0</v>
      </c>
      <c r="N1156" s="322"/>
      <c r="O1156" s="335">
        <f t="shared" si="141"/>
        <v>0</v>
      </c>
      <c r="P1156" s="322"/>
    </row>
    <row r="1157" spans="1:16">
      <c r="E1157" s="315" t="s">
        <v>606</v>
      </c>
      <c r="F1157" s="123"/>
      <c r="G1157" s="135"/>
      <c r="H1157" s="135"/>
      <c r="I1157" s="136"/>
      <c r="J1157" s="135"/>
      <c r="K1157" s="123">
        <f t="shared" si="139"/>
        <v>0</v>
      </c>
      <c r="L1157" s="123">
        <v>0</v>
      </c>
      <c r="M1157" s="123">
        <f t="shared" si="140"/>
        <v>0</v>
      </c>
      <c r="N1157" s="160"/>
      <c r="O1157" s="123">
        <f t="shared" si="141"/>
        <v>0</v>
      </c>
      <c r="P1157" s="160"/>
    </row>
    <row r="1158" spans="1:16">
      <c r="E1158" s="37" t="s">
        <v>277</v>
      </c>
      <c r="F1158" s="47">
        <f>117000+50000</f>
        <v>167000</v>
      </c>
      <c r="G1158" s="135"/>
      <c r="H1158" s="135"/>
      <c r="I1158" s="136">
        <v>-50000</v>
      </c>
      <c r="J1158" s="135"/>
      <c r="K1158" s="47">
        <f t="shared" si="139"/>
        <v>117000</v>
      </c>
      <c r="L1158" s="47">
        <v>167000</v>
      </c>
      <c r="M1158" s="47">
        <f t="shared" si="140"/>
        <v>0</v>
      </c>
      <c r="N1158" s="96">
        <f t="shared" si="143"/>
        <v>0</v>
      </c>
      <c r="O1158" s="47">
        <f t="shared" si="141"/>
        <v>50000</v>
      </c>
      <c r="P1158" s="96">
        <f t="shared" si="142"/>
        <v>0.42735042735042733</v>
      </c>
    </row>
    <row r="1159" spans="1:16">
      <c r="E1159" s="37"/>
      <c r="F1159" s="47"/>
      <c r="G1159" s="135"/>
      <c r="H1159" s="135"/>
      <c r="I1159" s="136"/>
      <c r="J1159" s="135"/>
      <c r="K1159" s="47">
        <f t="shared" si="139"/>
        <v>0</v>
      </c>
      <c r="L1159" s="47">
        <v>0</v>
      </c>
      <c r="M1159" s="47">
        <f t="shared" si="140"/>
        <v>0</v>
      </c>
      <c r="N1159" s="96"/>
      <c r="O1159" s="47">
        <f t="shared" si="141"/>
        <v>0</v>
      </c>
      <c r="P1159" s="96"/>
    </row>
    <row r="1160" spans="1:16" ht="26.4">
      <c r="E1160" s="37" t="s">
        <v>931</v>
      </c>
      <c r="F1160" s="47">
        <f>500000+500000</f>
        <v>1000000</v>
      </c>
      <c r="G1160" s="47">
        <v>3000000</v>
      </c>
      <c r="H1160" s="135"/>
      <c r="I1160" s="136"/>
      <c r="J1160" s="135"/>
      <c r="K1160" s="47">
        <f t="shared" ref="K1160:K1223" si="146">F1160+G1160+H1160+J1160+I1160</f>
        <v>4000000</v>
      </c>
      <c r="L1160" s="47">
        <v>1000000</v>
      </c>
      <c r="M1160" s="47">
        <f t="shared" ref="M1160:M1223" si="147">L1160-F1160</f>
        <v>0</v>
      </c>
      <c r="N1160" s="96">
        <f t="shared" ref="N1160:N1223" si="148">M1160/F1160</f>
        <v>0</v>
      </c>
      <c r="O1160" s="47">
        <f t="shared" ref="O1160:O1223" si="149">L1160-K1160</f>
        <v>-3000000</v>
      </c>
      <c r="P1160" s="96">
        <f t="shared" ref="P1160:P1223" si="150">O1160/K1160</f>
        <v>-0.75</v>
      </c>
    </row>
    <row r="1161" spans="1:16">
      <c r="E1161" s="290"/>
      <c r="F1161" s="291"/>
      <c r="G1161" s="135"/>
      <c r="H1161" s="135"/>
      <c r="I1161" s="136"/>
      <c r="J1161" s="135"/>
      <c r="K1161" s="291">
        <f t="shared" si="146"/>
        <v>0</v>
      </c>
      <c r="L1161" s="291">
        <v>0</v>
      </c>
      <c r="M1161" s="291">
        <f t="shared" si="147"/>
        <v>0</v>
      </c>
      <c r="N1161" s="282"/>
      <c r="O1161" s="291">
        <f t="shared" si="149"/>
        <v>0</v>
      </c>
      <c r="P1161" s="282"/>
    </row>
    <row r="1162" spans="1:16">
      <c r="C1162" s="537" t="s">
        <v>1031</v>
      </c>
      <c r="D1162" s="537" t="s">
        <v>1011</v>
      </c>
      <c r="E1162" s="339" t="s">
        <v>278</v>
      </c>
      <c r="F1162" s="123">
        <f>8021000+459500+845000</f>
        <v>9325500</v>
      </c>
      <c r="G1162" s="135"/>
      <c r="H1162" s="135"/>
      <c r="I1162" s="123">
        <v>1000000</v>
      </c>
      <c r="J1162" s="135"/>
      <c r="K1162" s="123">
        <f t="shared" si="146"/>
        <v>10325500</v>
      </c>
      <c r="L1162" s="123">
        <v>9325500</v>
      </c>
      <c r="M1162" s="123">
        <f t="shared" si="147"/>
        <v>0</v>
      </c>
      <c r="N1162" s="160">
        <f t="shared" si="148"/>
        <v>0</v>
      </c>
      <c r="O1162" s="123">
        <f t="shared" si="149"/>
        <v>-1000000</v>
      </c>
      <c r="P1162" s="160">
        <f t="shared" si="150"/>
        <v>-9.6847610285216212E-2</v>
      </c>
    </row>
    <row r="1163" spans="1:16">
      <c r="E1163" s="132" t="s">
        <v>434</v>
      </c>
      <c r="F1163" s="124">
        <f>485000+845000</f>
        <v>1330000</v>
      </c>
      <c r="G1163" s="135"/>
      <c r="H1163" s="135"/>
      <c r="I1163" s="124">
        <v>-430000</v>
      </c>
      <c r="J1163" s="135"/>
      <c r="K1163" s="124">
        <f t="shared" si="146"/>
        <v>900000</v>
      </c>
      <c r="L1163" s="124">
        <v>1330000</v>
      </c>
      <c r="M1163" s="124">
        <f t="shared" si="147"/>
        <v>0</v>
      </c>
      <c r="N1163" s="270">
        <f t="shared" si="148"/>
        <v>0</v>
      </c>
      <c r="O1163" s="124">
        <f t="shared" si="149"/>
        <v>430000</v>
      </c>
      <c r="P1163" s="270">
        <f t="shared" si="150"/>
        <v>0.4777777777777778</v>
      </c>
    </row>
    <row r="1164" spans="1:16" s="10" customFormat="1">
      <c r="A1164" s="135"/>
      <c r="B1164" s="135"/>
      <c r="C1164" s="482"/>
      <c r="D1164" s="482"/>
      <c r="E1164" s="433"/>
      <c r="F1164" s="335"/>
      <c r="G1164" s="135"/>
      <c r="H1164" s="135"/>
      <c r="I1164" s="136"/>
      <c r="J1164" s="135"/>
      <c r="K1164" s="335">
        <f t="shared" si="146"/>
        <v>0</v>
      </c>
      <c r="L1164" s="335">
        <v>0</v>
      </c>
      <c r="M1164" s="335">
        <f t="shared" si="147"/>
        <v>0</v>
      </c>
      <c r="N1164" s="322"/>
      <c r="O1164" s="335">
        <f t="shared" si="149"/>
        <v>0</v>
      </c>
      <c r="P1164" s="322"/>
    </row>
    <row r="1165" spans="1:16" ht="20.399999999999999">
      <c r="E1165" s="303" t="s">
        <v>279</v>
      </c>
      <c r="F1165" s="304"/>
      <c r="G1165" s="135"/>
      <c r="H1165" s="135"/>
      <c r="I1165" s="136"/>
      <c r="J1165" s="135"/>
      <c r="K1165" s="304">
        <f t="shared" si="146"/>
        <v>0</v>
      </c>
      <c r="L1165" s="304">
        <v>0</v>
      </c>
      <c r="M1165" s="304">
        <f t="shared" si="147"/>
        <v>0</v>
      </c>
      <c r="N1165" s="305"/>
      <c r="O1165" s="304">
        <f t="shared" si="149"/>
        <v>0</v>
      </c>
      <c r="P1165" s="305"/>
    </row>
    <row r="1166" spans="1:16">
      <c r="E1166" s="303"/>
      <c r="F1166" s="304"/>
      <c r="G1166" s="135"/>
      <c r="H1166" s="135"/>
      <c r="I1166" s="136"/>
      <c r="J1166" s="135"/>
      <c r="K1166" s="304">
        <f t="shared" si="146"/>
        <v>0</v>
      </c>
      <c r="L1166" s="304">
        <v>0</v>
      </c>
      <c r="M1166" s="304">
        <f t="shared" si="147"/>
        <v>0</v>
      </c>
      <c r="N1166" s="305"/>
      <c r="O1166" s="304">
        <f t="shared" si="149"/>
        <v>0</v>
      </c>
      <c r="P1166" s="305"/>
    </row>
    <row r="1167" spans="1:16" ht="13.8">
      <c r="A1167" s="77" t="s">
        <v>679</v>
      </c>
      <c r="B1167" s="77" t="s">
        <v>685</v>
      </c>
      <c r="E1167" s="310" t="s">
        <v>163</v>
      </c>
      <c r="F1167" s="311">
        <f>SUM(F1168,F1180,F1186)</f>
        <v>4957699</v>
      </c>
      <c r="G1167" s="311">
        <f t="shared" ref="G1167:I1167" si="151">SUM(G1168,G1180,G1186)</f>
        <v>0</v>
      </c>
      <c r="H1167" s="311">
        <f t="shared" si="151"/>
        <v>540688</v>
      </c>
      <c r="I1167" s="311">
        <f t="shared" si="151"/>
        <v>53550</v>
      </c>
      <c r="J1167" s="311">
        <f>SUM(J1168,J1180,J1186)</f>
        <v>253005</v>
      </c>
      <c r="K1167" s="311">
        <f t="shared" si="146"/>
        <v>5804942</v>
      </c>
      <c r="L1167" s="311">
        <f>SUM(L1168,L1180,L1186)</f>
        <v>5465837</v>
      </c>
      <c r="M1167" s="311">
        <f t="shared" si="147"/>
        <v>508138</v>
      </c>
      <c r="N1167" s="313">
        <f t="shared" si="148"/>
        <v>0.10249472587988903</v>
      </c>
      <c r="O1167" s="311">
        <f t="shared" si="149"/>
        <v>-339105</v>
      </c>
      <c r="P1167" s="313">
        <f t="shared" si="150"/>
        <v>-5.8416604334720311E-2</v>
      </c>
    </row>
    <row r="1168" spans="1:16">
      <c r="C1168" s="537" t="s">
        <v>1021</v>
      </c>
      <c r="D1168" s="537" t="s">
        <v>949</v>
      </c>
      <c r="E1168" s="339" t="s">
        <v>164</v>
      </c>
      <c r="F1168" s="123">
        <f>F1171+F1176</f>
        <v>2728892</v>
      </c>
      <c r="G1168" s="123">
        <f t="shared" ref="G1168:H1168" si="152">G1171+G1176</f>
        <v>0</v>
      </c>
      <c r="H1168" s="123">
        <f t="shared" si="152"/>
        <v>442072</v>
      </c>
      <c r="I1168" s="123">
        <f>I1171+I1176+I1178</f>
        <v>11000</v>
      </c>
      <c r="J1168" s="123">
        <f>J1171+J1176</f>
        <v>67565</v>
      </c>
      <c r="K1168" s="123">
        <f t="shared" si="146"/>
        <v>3249529</v>
      </c>
      <c r="L1168" s="123">
        <f>L1171+L1176</f>
        <v>2831910</v>
      </c>
      <c r="M1168" s="123">
        <f t="shared" si="147"/>
        <v>103018</v>
      </c>
      <c r="N1168" s="160">
        <f t="shared" si="148"/>
        <v>3.7750852727040866E-2</v>
      </c>
      <c r="O1168" s="123">
        <f t="shared" si="149"/>
        <v>-417619</v>
      </c>
      <c r="P1168" s="160">
        <f t="shared" si="150"/>
        <v>-0.1285167788931873</v>
      </c>
    </row>
    <row r="1169" spans="1:16">
      <c r="E1169" s="132" t="s">
        <v>47</v>
      </c>
      <c r="F1169" s="124">
        <f>F1172</f>
        <v>568281</v>
      </c>
      <c r="G1169" s="124">
        <f t="shared" ref="G1169" si="153">G1172</f>
        <v>0</v>
      </c>
      <c r="H1169" s="124">
        <f>H1172</f>
        <v>13453</v>
      </c>
      <c r="I1169" s="124">
        <f>I1172</f>
        <v>24664</v>
      </c>
      <c r="J1169" s="124">
        <f>J1172</f>
        <v>50497</v>
      </c>
      <c r="K1169" s="124">
        <f t="shared" si="146"/>
        <v>656895</v>
      </c>
      <c r="L1169" s="124">
        <f>L1172</f>
        <v>638208.19999999995</v>
      </c>
      <c r="M1169" s="124">
        <f t="shared" si="147"/>
        <v>69927.199999999953</v>
      </c>
      <c r="N1169" s="270">
        <f t="shared" si="148"/>
        <v>0.12305039232351593</v>
      </c>
      <c r="O1169" s="124">
        <f t="shared" si="149"/>
        <v>-18686.800000000047</v>
      </c>
      <c r="P1169" s="270">
        <f t="shared" si="150"/>
        <v>-2.8447164310886893E-2</v>
      </c>
    </row>
    <row r="1170" spans="1:16">
      <c r="E1170" s="315" t="s">
        <v>101</v>
      </c>
      <c r="F1170" s="123"/>
      <c r="G1170" s="135"/>
      <c r="H1170" s="135"/>
      <c r="I1170" s="136"/>
      <c r="J1170" s="123"/>
      <c r="K1170" s="123">
        <f t="shared" si="146"/>
        <v>0</v>
      </c>
      <c r="L1170" s="123">
        <v>0</v>
      </c>
      <c r="M1170" s="123">
        <f t="shared" si="147"/>
        <v>0</v>
      </c>
      <c r="N1170" s="160"/>
      <c r="O1170" s="123">
        <f t="shared" si="149"/>
        <v>0</v>
      </c>
      <c r="P1170" s="160"/>
    </row>
    <row r="1171" spans="1:16">
      <c r="E1171" s="37" t="s">
        <v>288</v>
      </c>
      <c r="F1171" s="47">
        <f>2084755+424137+120000</f>
        <v>2628892</v>
      </c>
      <c r="G1171" s="135"/>
      <c r="H1171" s="47">
        <v>442072</v>
      </c>
      <c r="I1171" s="47">
        <f>-50000+33000+100000</f>
        <v>83000</v>
      </c>
      <c r="J1171" s="47">
        <v>67565</v>
      </c>
      <c r="K1171" s="47">
        <f t="shared" si="146"/>
        <v>3221529</v>
      </c>
      <c r="L1171" s="47">
        <v>2731910</v>
      </c>
      <c r="M1171" s="47">
        <f t="shared" si="147"/>
        <v>103018</v>
      </c>
      <c r="N1171" s="96">
        <f t="shared" si="148"/>
        <v>3.9186851342694944E-2</v>
      </c>
      <c r="O1171" s="47">
        <f t="shared" si="149"/>
        <v>-489619</v>
      </c>
      <c r="P1171" s="96">
        <f t="shared" si="150"/>
        <v>-0.15198342153679201</v>
      </c>
    </row>
    <row r="1172" spans="1:16">
      <c r="E1172" s="323" t="s">
        <v>47</v>
      </c>
      <c r="F1172" s="124">
        <v>568281</v>
      </c>
      <c r="G1172" s="135"/>
      <c r="H1172" s="124">
        <v>13453</v>
      </c>
      <c r="I1172" s="124">
        <v>24664</v>
      </c>
      <c r="J1172" s="124">
        <v>50497</v>
      </c>
      <c r="K1172" s="124">
        <f t="shared" si="146"/>
        <v>656895</v>
      </c>
      <c r="L1172" s="124">
        <v>638208.19999999995</v>
      </c>
      <c r="M1172" s="124">
        <f t="shared" si="147"/>
        <v>69927.199999999953</v>
      </c>
      <c r="N1172" s="270">
        <f t="shared" si="148"/>
        <v>0.12305039232351593</v>
      </c>
      <c r="O1172" s="124">
        <f t="shared" si="149"/>
        <v>-18686.800000000047</v>
      </c>
      <c r="P1172" s="270">
        <f t="shared" si="150"/>
        <v>-2.8447164310886893E-2</v>
      </c>
    </row>
    <row r="1173" spans="1:16">
      <c r="E1173" s="67" t="s">
        <v>420</v>
      </c>
      <c r="F1173" s="49">
        <f>1368830+121700+10157+7400</f>
        <v>1508087</v>
      </c>
      <c r="G1173" s="135"/>
      <c r="H1173" s="49">
        <v>88980</v>
      </c>
      <c r="I1173" s="49">
        <v>33000</v>
      </c>
      <c r="J1173" s="49">
        <v>67565</v>
      </c>
      <c r="K1173" s="49">
        <f t="shared" si="146"/>
        <v>1697632</v>
      </c>
      <c r="L1173" s="49">
        <v>1671105</v>
      </c>
      <c r="M1173" s="49">
        <f t="shared" si="147"/>
        <v>163018</v>
      </c>
      <c r="N1173" s="98">
        <f t="shared" si="148"/>
        <v>0.10809588571481618</v>
      </c>
      <c r="O1173" s="49">
        <f t="shared" si="149"/>
        <v>-26527</v>
      </c>
      <c r="P1173" s="98">
        <f t="shared" si="150"/>
        <v>-1.5625883583721325E-2</v>
      </c>
    </row>
    <row r="1174" spans="1:16" s="10" customFormat="1">
      <c r="A1174" s="135"/>
      <c r="B1174" s="135"/>
      <c r="C1174" s="482"/>
      <c r="D1174" s="482"/>
      <c r="E1174" s="297"/>
      <c r="F1174" s="298"/>
      <c r="G1174" s="135"/>
      <c r="H1174" s="135"/>
      <c r="I1174" s="136"/>
      <c r="J1174" s="298"/>
      <c r="K1174" s="298">
        <f t="shared" si="146"/>
        <v>0</v>
      </c>
      <c r="L1174" s="298">
        <v>0</v>
      </c>
      <c r="M1174" s="298">
        <f t="shared" si="147"/>
        <v>0</v>
      </c>
      <c r="N1174" s="299"/>
      <c r="O1174" s="298">
        <f t="shared" si="149"/>
        <v>0</v>
      </c>
      <c r="P1174" s="299"/>
    </row>
    <row r="1175" spans="1:16">
      <c r="E1175" s="315" t="s">
        <v>607</v>
      </c>
      <c r="F1175" s="123"/>
      <c r="G1175" s="135"/>
      <c r="H1175" s="135"/>
      <c r="I1175" s="136"/>
      <c r="J1175" s="123"/>
      <c r="K1175" s="123">
        <f t="shared" si="146"/>
        <v>0</v>
      </c>
      <c r="L1175" s="123">
        <v>0</v>
      </c>
      <c r="M1175" s="123">
        <f t="shared" si="147"/>
        <v>0</v>
      </c>
      <c r="N1175" s="160"/>
      <c r="O1175" s="123">
        <f t="shared" si="149"/>
        <v>0</v>
      </c>
      <c r="P1175" s="160"/>
    </row>
    <row r="1176" spans="1:16">
      <c r="E1176" s="63" t="s">
        <v>289</v>
      </c>
      <c r="F1176" s="74">
        <v>100000</v>
      </c>
      <c r="G1176" s="135"/>
      <c r="H1176" s="135"/>
      <c r="I1176" s="74">
        <v>-100000</v>
      </c>
      <c r="J1176" s="74"/>
      <c r="K1176" s="74">
        <f t="shared" si="146"/>
        <v>0</v>
      </c>
      <c r="L1176" s="74">
        <v>100000</v>
      </c>
      <c r="M1176" s="74">
        <f t="shared" si="147"/>
        <v>0</v>
      </c>
      <c r="N1176" s="95">
        <f t="shared" si="148"/>
        <v>0</v>
      </c>
      <c r="O1176" s="74">
        <f t="shared" si="149"/>
        <v>100000</v>
      </c>
      <c r="P1176" s="95"/>
    </row>
    <row r="1177" spans="1:16">
      <c r="E1177" s="63"/>
      <c r="F1177" s="74"/>
      <c r="G1177" s="135"/>
      <c r="H1177" s="135"/>
      <c r="I1177" s="74"/>
      <c r="J1177" s="74"/>
      <c r="K1177" s="74">
        <f t="shared" si="146"/>
        <v>0</v>
      </c>
      <c r="L1177" s="74">
        <v>0</v>
      </c>
      <c r="M1177" s="74">
        <f t="shared" si="147"/>
        <v>0</v>
      </c>
      <c r="N1177" s="95"/>
      <c r="O1177" s="74">
        <f t="shared" si="149"/>
        <v>0</v>
      </c>
      <c r="P1177" s="95"/>
    </row>
    <row r="1178" spans="1:16">
      <c r="E1178" s="63" t="s">
        <v>1183</v>
      </c>
      <c r="F1178" s="74"/>
      <c r="G1178" s="135"/>
      <c r="H1178" s="135"/>
      <c r="I1178" s="74">
        <v>28000</v>
      </c>
      <c r="J1178" s="74"/>
      <c r="K1178" s="74">
        <f t="shared" si="146"/>
        <v>28000</v>
      </c>
      <c r="L1178" s="74">
        <v>0</v>
      </c>
      <c r="M1178" s="74">
        <f t="shared" si="147"/>
        <v>0</v>
      </c>
      <c r="N1178" s="95"/>
      <c r="O1178" s="74">
        <f t="shared" si="149"/>
        <v>-28000</v>
      </c>
      <c r="P1178" s="95">
        <f t="shared" si="150"/>
        <v>-1</v>
      </c>
    </row>
    <row r="1179" spans="1:16">
      <c r="E1179" s="434"/>
      <c r="F1179" s="435"/>
      <c r="G1179" s="135"/>
      <c r="H1179" s="135"/>
      <c r="I1179" s="136"/>
      <c r="J1179" s="435"/>
      <c r="K1179" s="435">
        <f t="shared" si="146"/>
        <v>0</v>
      </c>
      <c r="L1179" s="435">
        <v>0</v>
      </c>
      <c r="M1179" s="435">
        <f t="shared" si="147"/>
        <v>0</v>
      </c>
      <c r="N1179" s="160"/>
      <c r="O1179" s="435">
        <f t="shared" si="149"/>
        <v>0</v>
      </c>
      <c r="P1179" s="160"/>
    </row>
    <row r="1180" spans="1:16">
      <c r="C1180" s="537" t="s">
        <v>1021</v>
      </c>
      <c r="D1180" s="537" t="s">
        <v>964</v>
      </c>
      <c r="E1180" s="339" t="s">
        <v>290</v>
      </c>
      <c r="F1180" s="123">
        <f>F1183</f>
        <v>1828762</v>
      </c>
      <c r="G1180" s="123">
        <f t="shared" ref="G1180:I1181" si="154">G1183</f>
        <v>0</v>
      </c>
      <c r="H1180" s="123">
        <f t="shared" si="154"/>
        <v>98616</v>
      </c>
      <c r="I1180" s="123">
        <f t="shared" si="154"/>
        <v>42550</v>
      </c>
      <c r="J1180" s="123">
        <f>J1183</f>
        <v>185440</v>
      </c>
      <c r="K1180" s="123">
        <f t="shared" si="146"/>
        <v>2155368</v>
      </c>
      <c r="L1180" s="123">
        <f>L1183</f>
        <v>2233882</v>
      </c>
      <c r="M1180" s="123">
        <f t="shared" si="147"/>
        <v>405120</v>
      </c>
      <c r="N1180" s="160">
        <f t="shared" si="148"/>
        <v>0.22152691274206265</v>
      </c>
      <c r="O1180" s="123">
        <f t="shared" si="149"/>
        <v>78514</v>
      </c>
      <c r="P1180" s="160">
        <f t="shared" si="150"/>
        <v>3.6427190159638634E-2</v>
      </c>
    </row>
    <row r="1181" spans="1:16">
      <c r="E1181" s="132" t="s">
        <v>47</v>
      </c>
      <c r="F1181" s="124">
        <f>F1184</f>
        <v>713640</v>
      </c>
      <c r="G1181" s="124">
        <f t="shared" si="154"/>
        <v>0</v>
      </c>
      <c r="H1181" s="124">
        <f t="shared" si="154"/>
        <v>29895</v>
      </c>
      <c r="I1181" s="124">
        <f t="shared" si="154"/>
        <v>31801</v>
      </c>
      <c r="J1181" s="124">
        <f>J1184</f>
        <v>138595</v>
      </c>
      <c r="K1181" s="124">
        <f t="shared" si="146"/>
        <v>913931</v>
      </c>
      <c r="L1181" s="124">
        <f>L1184</f>
        <v>925682</v>
      </c>
      <c r="M1181" s="124">
        <f t="shared" si="147"/>
        <v>212042</v>
      </c>
      <c r="N1181" s="270">
        <f t="shared" si="148"/>
        <v>0.29712740317246789</v>
      </c>
      <c r="O1181" s="124">
        <f t="shared" si="149"/>
        <v>11751</v>
      </c>
      <c r="P1181" s="270">
        <f t="shared" si="150"/>
        <v>1.2857644614308958E-2</v>
      </c>
    </row>
    <row r="1182" spans="1:16">
      <c r="E1182" s="315" t="s">
        <v>101</v>
      </c>
      <c r="F1182" s="123"/>
      <c r="G1182" s="135"/>
      <c r="H1182" s="135"/>
      <c r="I1182" s="136"/>
      <c r="J1182" s="123"/>
      <c r="K1182" s="123">
        <f t="shared" si="146"/>
        <v>0</v>
      </c>
      <c r="L1182" s="123">
        <v>0</v>
      </c>
      <c r="M1182" s="123">
        <f t="shared" si="147"/>
        <v>0</v>
      </c>
      <c r="N1182" s="160"/>
      <c r="O1182" s="123">
        <f t="shared" si="149"/>
        <v>0</v>
      </c>
      <c r="P1182" s="160"/>
    </row>
    <row r="1183" spans="1:16">
      <c r="E1183" s="37" t="s">
        <v>582</v>
      </c>
      <c r="F1183" s="47">
        <f>1758697+47900+22165</f>
        <v>1828762</v>
      </c>
      <c r="G1183" s="135"/>
      <c r="H1183" s="47">
        <v>98616</v>
      </c>
      <c r="I1183" s="136">
        <v>42550</v>
      </c>
      <c r="J1183" s="47">
        <v>185440</v>
      </c>
      <c r="K1183" s="47">
        <f t="shared" si="146"/>
        <v>2155368</v>
      </c>
      <c r="L1183" s="47">
        <v>2233882</v>
      </c>
      <c r="M1183" s="47">
        <f t="shared" si="147"/>
        <v>405120</v>
      </c>
      <c r="N1183" s="96">
        <f t="shared" si="148"/>
        <v>0.22152691274206265</v>
      </c>
      <c r="O1183" s="47">
        <f t="shared" si="149"/>
        <v>78514</v>
      </c>
      <c r="P1183" s="96">
        <f t="shared" si="150"/>
        <v>3.6427190159638634E-2</v>
      </c>
    </row>
    <row r="1184" spans="1:16">
      <c r="E1184" s="323" t="s">
        <v>47</v>
      </c>
      <c r="F1184" s="124">
        <v>713640</v>
      </c>
      <c r="G1184" s="135"/>
      <c r="H1184" s="124">
        <v>29895</v>
      </c>
      <c r="I1184" s="124">
        <v>31801</v>
      </c>
      <c r="J1184" s="124">
        <v>138595</v>
      </c>
      <c r="K1184" s="124">
        <f t="shared" si="146"/>
        <v>913931</v>
      </c>
      <c r="L1184" s="124">
        <v>925682</v>
      </c>
      <c r="M1184" s="124">
        <f t="shared" si="147"/>
        <v>212042</v>
      </c>
      <c r="N1184" s="270">
        <f t="shared" si="148"/>
        <v>0.29712740317246789</v>
      </c>
      <c r="O1184" s="124">
        <f t="shared" si="149"/>
        <v>11751</v>
      </c>
      <c r="P1184" s="270">
        <f t="shared" si="150"/>
        <v>1.2857644614308958E-2</v>
      </c>
    </row>
    <row r="1185" spans="1:16" s="10" customFormat="1">
      <c r="A1185" s="135"/>
      <c r="B1185" s="135"/>
      <c r="C1185" s="482"/>
      <c r="D1185" s="482"/>
      <c r="E1185" s="66"/>
      <c r="F1185" s="47"/>
      <c r="G1185" s="135"/>
      <c r="H1185" s="135"/>
      <c r="I1185" s="136"/>
      <c r="J1185" s="135"/>
      <c r="K1185" s="47">
        <f t="shared" si="146"/>
        <v>0</v>
      </c>
      <c r="L1185" s="47">
        <v>0</v>
      </c>
      <c r="M1185" s="47">
        <f t="shared" si="147"/>
        <v>0</v>
      </c>
      <c r="N1185" s="96"/>
      <c r="O1185" s="47">
        <f t="shared" si="149"/>
        <v>0</v>
      </c>
      <c r="P1185" s="96"/>
    </row>
    <row r="1186" spans="1:16">
      <c r="C1186" s="537" t="s">
        <v>1021</v>
      </c>
      <c r="D1186" s="537" t="s">
        <v>993</v>
      </c>
      <c r="E1186" s="339" t="s">
        <v>291</v>
      </c>
      <c r="F1186" s="123">
        <v>400045</v>
      </c>
      <c r="G1186" s="135"/>
      <c r="H1186" s="135"/>
      <c r="I1186" s="136"/>
      <c r="J1186" s="135"/>
      <c r="K1186" s="123">
        <f t="shared" si="146"/>
        <v>400045</v>
      </c>
      <c r="L1186" s="123">
        <v>400045</v>
      </c>
      <c r="M1186" s="123">
        <f t="shared" si="147"/>
        <v>0</v>
      </c>
      <c r="N1186" s="160">
        <f t="shared" si="148"/>
        <v>0</v>
      </c>
      <c r="O1186" s="123">
        <f t="shared" si="149"/>
        <v>0</v>
      </c>
      <c r="P1186" s="160">
        <f t="shared" si="150"/>
        <v>0</v>
      </c>
    </row>
    <row r="1187" spans="1:16">
      <c r="E1187" s="66"/>
      <c r="F1187" s="47"/>
      <c r="G1187" s="135"/>
      <c r="H1187" s="135"/>
      <c r="I1187" s="136"/>
      <c r="J1187" s="135"/>
      <c r="K1187" s="47">
        <f t="shared" si="146"/>
        <v>0</v>
      </c>
      <c r="L1187" s="47">
        <v>0</v>
      </c>
      <c r="M1187" s="47">
        <f t="shared" si="147"/>
        <v>0</v>
      </c>
      <c r="N1187" s="96"/>
      <c r="O1187" s="47">
        <f t="shared" si="149"/>
        <v>0</v>
      </c>
      <c r="P1187" s="96"/>
    </row>
    <row r="1188" spans="1:16">
      <c r="E1188" s="66"/>
      <c r="F1188" s="47"/>
      <c r="G1188" s="135"/>
      <c r="H1188" s="135"/>
      <c r="I1188" s="136"/>
      <c r="J1188" s="135"/>
      <c r="K1188" s="47">
        <f t="shared" si="146"/>
        <v>0</v>
      </c>
      <c r="L1188" s="47">
        <v>0</v>
      </c>
      <c r="M1188" s="47">
        <f t="shared" si="147"/>
        <v>0</v>
      </c>
      <c r="N1188" s="96"/>
      <c r="O1188" s="47">
        <f t="shared" si="149"/>
        <v>0</v>
      </c>
      <c r="P1188" s="96"/>
    </row>
    <row r="1189" spans="1:16" ht="13.8">
      <c r="A1189" s="77" t="s">
        <v>687</v>
      </c>
      <c r="B1189" s="77" t="s">
        <v>685</v>
      </c>
      <c r="E1189" s="344" t="s">
        <v>292</v>
      </c>
      <c r="F1189" s="126">
        <f>SUM(F1190)</f>
        <v>5225</v>
      </c>
      <c r="G1189" s="135"/>
      <c r="H1189" s="135"/>
      <c r="I1189" s="136"/>
      <c r="J1189" s="135"/>
      <c r="K1189" s="126">
        <f t="shared" si="146"/>
        <v>5225</v>
      </c>
      <c r="L1189" s="126">
        <f>SUM(L1190)</f>
        <v>5225</v>
      </c>
      <c r="M1189" s="126">
        <f t="shared" si="147"/>
        <v>0</v>
      </c>
      <c r="N1189" s="313">
        <f t="shared" si="148"/>
        <v>0</v>
      </c>
      <c r="O1189" s="126">
        <f t="shared" si="149"/>
        <v>0</v>
      </c>
      <c r="P1189" s="313">
        <f t="shared" si="150"/>
        <v>0</v>
      </c>
    </row>
    <row r="1190" spans="1:16">
      <c r="C1190" s="537" t="s">
        <v>1021</v>
      </c>
      <c r="D1190" s="537" t="s">
        <v>964</v>
      </c>
      <c r="E1190" s="339" t="s">
        <v>293</v>
      </c>
      <c r="F1190" s="123">
        <v>5225</v>
      </c>
      <c r="G1190" s="135"/>
      <c r="H1190" s="135"/>
      <c r="I1190" s="136"/>
      <c r="J1190" s="135"/>
      <c r="K1190" s="123">
        <f t="shared" si="146"/>
        <v>5225</v>
      </c>
      <c r="L1190" s="123">
        <v>5225</v>
      </c>
      <c r="M1190" s="123">
        <f t="shared" si="147"/>
        <v>0</v>
      </c>
      <c r="N1190" s="160">
        <f t="shared" si="148"/>
        <v>0</v>
      </c>
      <c r="O1190" s="123">
        <f t="shared" si="149"/>
        <v>0</v>
      </c>
      <c r="P1190" s="160">
        <f t="shared" si="150"/>
        <v>0</v>
      </c>
    </row>
    <row r="1191" spans="1:16" s="10" customFormat="1">
      <c r="A1191" s="135"/>
      <c r="B1191" s="135"/>
      <c r="C1191" s="482"/>
      <c r="D1191" s="482"/>
      <c r="E1191" s="334"/>
      <c r="F1191" s="335"/>
      <c r="G1191" s="135"/>
      <c r="H1191" s="135"/>
      <c r="I1191" s="136"/>
      <c r="J1191" s="135"/>
      <c r="K1191" s="335">
        <f t="shared" si="146"/>
        <v>0</v>
      </c>
      <c r="L1191" s="335">
        <v>0</v>
      </c>
      <c r="M1191" s="335">
        <f t="shared" si="147"/>
        <v>0</v>
      </c>
      <c r="N1191" s="322"/>
      <c r="O1191" s="335">
        <f t="shared" si="149"/>
        <v>0</v>
      </c>
      <c r="P1191" s="322"/>
    </row>
    <row r="1192" spans="1:16">
      <c r="E1192" s="261" t="s">
        <v>102</v>
      </c>
      <c r="F1192" s="127">
        <f>SUM(F1194,F1197,F1205,F1207,F1210,F1212,F1214,F1217,F1219,F1231,F1237,F1242)</f>
        <v>12492076</v>
      </c>
      <c r="G1192" s="127">
        <f t="shared" ref="G1192:I1192" si="155">SUM(G1194,G1197,G1205,G1207,G1210,G1212,G1214,G1217,G1219,G1231,G1237,G1242)</f>
        <v>0</v>
      </c>
      <c r="H1192" s="127">
        <f t="shared" si="155"/>
        <v>425333</v>
      </c>
      <c r="I1192" s="127">
        <f t="shared" si="155"/>
        <v>-142767</v>
      </c>
      <c r="J1192" s="127">
        <f>SUM(J1194,J1197,J1205,J1207,J1210,J1212,J1214,J1217,J1219,J1231,J1237,J1242)</f>
        <v>291465</v>
      </c>
      <c r="K1192" s="127">
        <f t="shared" si="146"/>
        <v>13066107</v>
      </c>
      <c r="L1192" s="127">
        <f>SUM(L1194,L1197,L1205,L1207,L1210,L1212,L1214,L1217,L1219,L1231,L1237,L1242)</f>
        <v>13402336</v>
      </c>
      <c r="M1192" s="127">
        <f t="shared" si="147"/>
        <v>910260</v>
      </c>
      <c r="N1192" s="160">
        <f t="shared" si="148"/>
        <v>7.2866991843469411E-2</v>
      </c>
      <c r="O1192" s="127">
        <f t="shared" si="149"/>
        <v>336229</v>
      </c>
      <c r="P1192" s="160">
        <f t="shared" si="150"/>
        <v>2.5732913407183946E-2</v>
      </c>
    </row>
    <row r="1193" spans="1:16">
      <c r="E1193" s="261"/>
      <c r="F1193" s="127"/>
      <c r="G1193" s="135"/>
      <c r="H1193" s="135"/>
      <c r="I1193" s="136"/>
      <c r="J1193" s="135"/>
      <c r="K1193" s="127">
        <f t="shared" si="146"/>
        <v>0</v>
      </c>
      <c r="L1193" s="127">
        <v>0</v>
      </c>
      <c r="M1193" s="127">
        <f t="shared" si="147"/>
        <v>0</v>
      </c>
      <c r="N1193" s="160"/>
      <c r="O1193" s="127">
        <f t="shared" si="149"/>
        <v>0</v>
      </c>
      <c r="P1193" s="160"/>
    </row>
    <row r="1194" spans="1:16">
      <c r="A1194" s="77" t="s">
        <v>687</v>
      </c>
      <c r="B1194" s="77" t="s">
        <v>685</v>
      </c>
      <c r="C1194" s="537" t="s">
        <v>1034</v>
      </c>
      <c r="D1194" s="537"/>
      <c r="E1194" s="273" t="s">
        <v>421</v>
      </c>
      <c r="F1194" s="131">
        <f>3251488+270734+135367</f>
        <v>3657589</v>
      </c>
      <c r="G1194" s="135"/>
      <c r="H1194" s="131">
        <v>-82967</v>
      </c>
      <c r="I1194" s="136">
        <v>-1491</v>
      </c>
      <c r="J1194" s="131">
        <v>287531</v>
      </c>
      <c r="K1194" s="131">
        <f t="shared" si="146"/>
        <v>3860662</v>
      </c>
      <c r="L1194" s="131">
        <v>4278669</v>
      </c>
      <c r="M1194" s="131">
        <f t="shared" si="147"/>
        <v>621080</v>
      </c>
      <c r="N1194" s="157">
        <f t="shared" si="148"/>
        <v>0.16980584751321157</v>
      </c>
      <c r="O1194" s="131">
        <f t="shared" si="149"/>
        <v>418007</v>
      </c>
      <c r="P1194" s="157">
        <f t="shared" si="150"/>
        <v>0.10827339974336007</v>
      </c>
    </row>
    <row r="1195" spans="1:16">
      <c r="E1195" s="130" t="s">
        <v>47</v>
      </c>
      <c r="F1195" s="124">
        <f>2212234+200100+100050</f>
        <v>2512384</v>
      </c>
      <c r="G1195" s="135"/>
      <c r="H1195" s="124">
        <v>-62008</v>
      </c>
      <c r="I1195" s="124">
        <v>-1373</v>
      </c>
      <c r="J1195" s="124">
        <v>214896</v>
      </c>
      <c r="K1195" s="124">
        <f t="shared" si="146"/>
        <v>2663899</v>
      </c>
      <c r="L1195" s="124">
        <v>2975727</v>
      </c>
      <c r="M1195" s="124">
        <f t="shared" si="147"/>
        <v>463343</v>
      </c>
      <c r="N1195" s="270">
        <f t="shared" si="148"/>
        <v>0.18442363906154474</v>
      </c>
      <c r="O1195" s="124">
        <f t="shared" si="149"/>
        <v>311828</v>
      </c>
      <c r="P1195" s="270">
        <f t="shared" si="150"/>
        <v>0.11705699052404014</v>
      </c>
    </row>
    <row r="1196" spans="1:16">
      <c r="E1196" s="261"/>
      <c r="F1196" s="127"/>
      <c r="G1196" s="135"/>
      <c r="H1196" s="135"/>
      <c r="I1196" s="136"/>
      <c r="J1196" s="135"/>
      <c r="K1196" s="127">
        <f t="shared" si="146"/>
        <v>0</v>
      </c>
      <c r="L1196" s="127">
        <v>0</v>
      </c>
      <c r="M1196" s="127">
        <f t="shared" si="147"/>
        <v>0</v>
      </c>
      <c r="N1196" s="160"/>
      <c r="O1196" s="127">
        <f t="shared" si="149"/>
        <v>0</v>
      </c>
      <c r="P1196" s="160"/>
    </row>
    <row r="1197" spans="1:16">
      <c r="A1197" s="77" t="s">
        <v>680</v>
      </c>
      <c r="B1197" s="77" t="s">
        <v>685</v>
      </c>
      <c r="C1197" s="537" t="s">
        <v>1031</v>
      </c>
      <c r="D1197" s="537" t="s">
        <v>984</v>
      </c>
      <c r="E1197" s="290" t="s">
        <v>280</v>
      </c>
      <c r="F1197" s="291">
        <f>SUM(F1198:F1201)</f>
        <v>5760120</v>
      </c>
      <c r="G1197" s="135"/>
      <c r="H1197" s="135"/>
      <c r="I1197" s="291">
        <f t="shared" ref="I1197" si="156">SUM(I1198:I1201)</f>
        <v>0</v>
      </c>
      <c r="J1197" s="135"/>
      <c r="K1197" s="291">
        <f t="shared" si="146"/>
        <v>5760120</v>
      </c>
      <c r="L1197" s="291">
        <f>SUM(L1198:L1201)</f>
        <v>5760120</v>
      </c>
      <c r="M1197" s="291">
        <f t="shared" si="147"/>
        <v>0</v>
      </c>
      <c r="N1197" s="282">
        <f t="shared" si="148"/>
        <v>0</v>
      </c>
      <c r="O1197" s="291">
        <f t="shared" si="149"/>
        <v>0</v>
      </c>
      <c r="P1197" s="282">
        <f t="shared" si="150"/>
        <v>0</v>
      </c>
    </row>
    <row r="1198" spans="1:16">
      <c r="E1198" s="296" t="s">
        <v>537</v>
      </c>
      <c r="F1198" s="298">
        <f>4825000+140000</f>
        <v>4965000</v>
      </c>
      <c r="G1198" s="135"/>
      <c r="H1198" s="135"/>
      <c r="I1198" s="136"/>
      <c r="J1198" s="135"/>
      <c r="K1198" s="298">
        <f t="shared" si="146"/>
        <v>4965000</v>
      </c>
      <c r="L1198" s="298">
        <v>4965000</v>
      </c>
      <c r="M1198" s="298">
        <f t="shared" si="147"/>
        <v>0</v>
      </c>
      <c r="N1198" s="299">
        <f t="shared" si="148"/>
        <v>0</v>
      </c>
      <c r="O1198" s="298">
        <f t="shared" si="149"/>
        <v>0</v>
      </c>
      <c r="P1198" s="299">
        <f t="shared" si="150"/>
        <v>0</v>
      </c>
    </row>
    <row r="1199" spans="1:16">
      <c r="E1199" s="183" t="s">
        <v>281</v>
      </c>
      <c r="F1199" s="304">
        <v>482000</v>
      </c>
      <c r="G1199" s="135"/>
      <c r="H1199" s="135"/>
      <c r="I1199" s="304">
        <v>26096</v>
      </c>
      <c r="J1199" s="135"/>
      <c r="K1199" s="304">
        <f t="shared" si="146"/>
        <v>508096</v>
      </c>
      <c r="L1199" s="304">
        <v>482000</v>
      </c>
      <c r="M1199" s="304">
        <f t="shared" si="147"/>
        <v>0</v>
      </c>
      <c r="N1199" s="305">
        <f t="shared" si="148"/>
        <v>0</v>
      </c>
      <c r="O1199" s="304">
        <f t="shared" si="149"/>
        <v>-26096</v>
      </c>
      <c r="P1199" s="305">
        <f t="shared" si="150"/>
        <v>-5.136037284292732E-2</v>
      </c>
    </row>
    <row r="1200" spans="1:16">
      <c r="E1200" s="183" t="s">
        <v>282</v>
      </c>
      <c r="F1200" s="304">
        <v>161240</v>
      </c>
      <c r="G1200" s="135"/>
      <c r="H1200" s="135"/>
      <c r="I1200" s="304">
        <v>-26096</v>
      </c>
      <c r="J1200" s="135"/>
      <c r="K1200" s="304">
        <f t="shared" si="146"/>
        <v>135144</v>
      </c>
      <c r="L1200" s="304">
        <v>161240</v>
      </c>
      <c r="M1200" s="304">
        <f t="shared" si="147"/>
        <v>0</v>
      </c>
      <c r="N1200" s="305">
        <f t="shared" si="148"/>
        <v>0</v>
      </c>
      <c r="O1200" s="304">
        <f t="shared" si="149"/>
        <v>26096</v>
      </c>
      <c r="P1200" s="305">
        <f t="shared" si="150"/>
        <v>0.19309773278872905</v>
      </c>
    </row>
    <row r="1201" spans="1:16">
      <c r="E1201" s="183" t="s">
        <v>283</v>
      </c>
      <c r="F1201" s="304">
        <v>151880</v>
      </c>
      <c r="G1201" s="135"/>
      <c r="H1201" s="135"/>
      <c r="I1201" s="136"/>
      <c r="J1201" s="135"/>
      <c r="K1201" s="304">
        <f t="shared" si="146"/>
        <v>151880</v>
      </c>
      <c r="L1201" s="304">
        <v>151880</v>
      </c>
      <c r="M1201" s="304">
        <f t="shared" si="147"/>
        <v>0</v>
      </c>
      <c r="N1201" s="305">
        <f t="shared" si="148"/>
        <v>0</v>
      </c>
      <c r="O1201" s="304">
        <f t="shared" si="149"/>
        <v>0</v>
      </c>
      <c r="P1201" s="305">
        <f t="shared" si="150"/>
        <v>0</v>
      </c>
    </row>
    <row r="1202" spans="1:16">
      <c r="E1202" s="183"/>
      <c r="F1202" s="304"/>
      <c r="G1202" s="135"/>
      <c r="H1202" s="135"/>
      <c r="I1202" s="136"/>
      <c r="J1202" s="135"/>
      <c r="K1202" s="304">
        <f t="shared" si="146"/>
        <v>0</v>
      </c>
      <c r="L1202" s="304">
        <v>0</v>
      </c>
      <c r="M1202" s="304">
        <f t="shared" si="147"/>
        <v>0</v>
      </c>
      <c r="N1202" s="305"/>
      <c r="O1202" s="304">
        <f t="shared" si="149"/>
        <v>0</v>
      </c>
      <c r="P1202" s="305"/>
    </row>
    <row r="1203" spans="1:16">
      <c r="E1203" s="391" t="s">
        <v>284</v>
      </c>
      <c r="F1203" s="298"/>
      <c r="G1203" s="135"/>
      <c r="H1203" s="135"/>
      <c r="I1203" s="136"/>
      <c r="J1203" s="135"/>
      <c r="K1203" s="298">
        <f t="shared" si="146"/>
        <v>0</v>
      </c>
      <c r="L1203" s="298">
        <v>0</v>
      </c>
      <c r="M1203" s="298">
        <f t="shared" si="147"/>
        <v>0</v>
      </c>
      <c r="N1203" s="299"/>
      <c r="O1203" s="298">
        <f t="shared" si="149"/>
        <v>0</v>
      </c>
      <c r="P1203" s="299"/>
    </row>
    <row r="1204" spans="1:16">
      <c r="E1204" s="267"/>
      <c r="F1204" s="268"/>
      <c r="G1204" s="135"/>
      <c r="H1204" s="135"/>
      <c r="I1204" s="136"/>
      <c r="J1204" s="135"/>
      <c r="K1204" s="268">
        <f t="shared" si="146"/>
        <v>0</v>
      </c>
      <c r="L1204" s="268">
        <v>0</v>
      </c>
      <c r="M1204" s="268">
        <f t="shared" si="147"/>
        <v>0</v>
      </c>
      <c r="N1204" s="157"/>
      <c r="O1204" s="268">
        <f t="shared" si="149"/>
        <v>0</v>
      </c>
      <c r="P1204" s="157"/>
    </row>
    <row r="1205" spans="1:16">
      <c r="A1205" s="77" t="s">
        <v>686</v>
      </c>
      <c r="B1205" s="77" t="s">
        <v>685</v>
      </c>
      <c r="C1205" s="537" t="s">
        <v>1013</v>
      </c>
      <c r="D1205" s="537" t="s">
        <v>1023</v>
      </c>
      <c r="E1205" s="273" t="s">
        <v>286</v>
      </c>
      <c r="F1205" s="131">
        <v>66500</v>
      </c>
      <c r="G1205" s="135"/>
      <c r="H1205" s="135"/>
      <c r="I1205" s="136"/>
      <c r="J1205" s="135"/>
      <c r="K1205" s="131">
        <f t="shared" si="146"/>
        <v>66500</v>
      </c>
      <c r="L1205" s="131">
        <v>66500</v>
      </c>
      <c r="M1205" s="131">
        <f t="shared" si="147"/>
        <v>0</v>
      </c>
      <c r="N1205" s="157">
        <f t="shared" si="148"/>
        <v>0</v>
      </c>
      <c r="O1205" s="131">
        <f t="shared" si="149"/>
        <v>0</v>
      </c>
      <c r="P1205" s="157">
        <f t="shared" si="150"/>
        <v>0</v>
      </c>
    </row>
    <row r="1206" spans="1:16">
      <c r="E1206" s="267"/>
      <c r="F1206" s="268"/>
      <c r="G1206" s="135"/>
      <c r="H1206" s="135"/>
      <c r="I1206" s="136"/>
      <c r="J1206" s="135"/>
      <c r="K1206" s="268">
        <f t="shared" si="146"/>
        <v>0</v>
      </c>
      <c r="L1206" s="268">
        <v>0</v>
      </c>
      <c r="M1206" s="268">
        <f t="shared" si="147"/>
        <v>0</v>
      </c>
      <c r="N1206" s="157"/>
      <c r="O1206" s="268">
        <f t="shared" si="149"/>
        <v>0</v>
      </c>
      <c r="P1206" s="157"/>
    </row>
    <row r="1207" spans="1:16">
      <c r="A1207" s="77" t="s">
        <v>686</v>
      </c>
      <c r="B1207" s="77" t="s">
        <v>685</v>
      </c>
      <c r="C1207" s="537" t="s">
        <v>1001</v>
      </c>
      <c r="D1207" s="537" t="s">
        <v>947</v>
      </c>
      <c r="E1207" s="290" t="s">
        <v>538</v>
      </c>
      <c r="F1207" s="291">
        <v>301040</v>
      </c>
      <c r="G1207" s="135"/>
      <c r="H1207" s="135"/>
      <c r="I1207" s="136"/>
      <c r="J1207" s="291">
        <v>3934</v>
      </c>
      <c r="K1207" s="291">
        <f t="shared" si="146"/>
        <v>304974</v>
      </c>
      <c r="L1207" s="291">
        <v>281037</v>
      </c>
      <c r="M1207" s="291">
        <f t="shared" si="147"/>
        <v>-20003</v>
      </c>
      <c r="N1207" s="282">
        <f t="shared" si="148"/>
        <v>-6.64463194259899E-2</v>
      </c>
      <c r="O1207" s="291">
        <f t="shared" si="149"/>
        <v>-23937</v>
      </c>
      <c r="P1207" s="282">
        <f t="shared" si="150"/>
        <v>-7.8488658049538654E-2</v>
      </c>
    </row>
    <row r="1208" spans="1:16">
      <c r="E1208" s="130" t="s">
        <v>47</v>
      </c>
      <c r="F1208" s="124">
        <v>33092</v>
      </c>
      <c r="G1208" s="135"/>
      <c r="H1208" s="135"/>
      <c r="I1208" s="136"/>
      <c r="J1208" s="124">
        <v>2940</v>
      </c>
      <c r="K1208" s="124">
        <f t="shared" si="146"/>
        <v>36032</v>
      </c>
      <c r="L1208" s="124">
        <v>36528</v>
      </c>
      <c r="M1208" s="124">
        <f t="shared" si="147"/>
        <v>3436</v>
      </c>
      <c r="N1208" s="270">
        <f t="shared" si="148"/>
        <v>0.10383174181070953</v>
      </c>
      <c r="O1208" s="124">
        <f t="shared" si="149"/>
        <v>496</v>
      </c>
      <c r="P1208" s="270">
        <f t="shared" si="150"/>
        <v>1.3765541740674956E-2</v>
      </c>
    </row>
    <row r="1209" spans="1:16">
      <c r="E1209" s="130"/>
      <c r="F1209" s="124"/>
      <c r="G1209" s="135"/>
      <c r="H1209" s="135"/>
      <c r="I1209" s="136"/>
      <c r="J1209" s="135"/>
      <c r="K1209" s="124">
        <f t="shared" si="146"/>
        <v>0</v>
      </c>
      <c r="L1209" s="124">
        <v>0</v>
      </c>
      <c r="M1209" s="124">
        <f t="shared" si="147"/>
        <v>0</v>
      </c>
      <c r="N1209" s="270"/>
      <c r="O1209" s="124">
        <f t="shared" si="149"/>
        <v>0</v>
      </c>
      <c r="P1209" s="270"/>
    </row>
    <row r="1210" spans="1:16">
      <c r="A1210" s="77" t="s">
        <v>681</v>
      </c>
      <c r="B1210" s="77" t="s">
        <v>685</v>
      </c>
      <c r="C1210" s="537" t="s">
        <v>972</v>
      </c>
      <c r="D1210" s="537" t="s">
        <v>1015</v>
      </c>
      <c r="E1210" s="267" t="s">
        <v>294</v>
      </c>
      <c r="F1210" s="268">
        <v>510900</v>
      </c>
      <c r="G1210" s="135"/>
      <c r="H1210" s="268">
        <v>207000</v>
      </c>
      <c r="I1210" s="136">
        <v>-150000</v>
      </c>
      <c r="J1210" s="135"/>
      <c r="K1210" s="268">
        <f t="shared" si="146"/>
        <v>567900</v>
      </c>
      <c r="L1210" s="268">
        <v>486300</v>
      </c>
      <c r="M1210" s="268">
        <f t="shared" si="147"/>
        <v>-24600</v>
      </c>
      <c r="N1210" s="157">
        <f t="shared" si="148"/>
        <v>-4.8150322959483266E-2</v>
      </c>
      <c r="O1210" s="268">
        <f t="shared" si="149"/>
        <v>-81600</v>
      </c>
      <c r="P1210" s="157">
        <f t="shared" si="150"/>
        <v>-0.14368726888536715</v>
      </c>
    </row>
    <row r="1211" spans="1:16">
      <c r="E1211" s="267"/>
      <c r="F1211" s="268"/>
      <c r="G1211" s="135"/>
      <c r="H1211" s="135"/>
      <c r="I1211" s="136"/>
      <c r="J1211" s="135"/>
      <c r="K1211" s="268">
        <f t="shared" si="146"/>
        <v>0</v>
      </c>
      <c r="L1211" s="268">
        <v>0</v>
      </c>
      <c r="M1211" s="268">
        <f t="shared" si="147"/>
        <v>0</v>
      </c>
      <c r="N1211" s="157"/>
      <c r="O1211" s="268">
        <f t="shared" si="149"/>
        <v>0</v>
      </c>
      <c r="P1211" s="157"/>
    </row>
    <row r="1212" spans="1:16">
      <c r="A1212" s="77" t="s">
        <v>679</v>
      </c>
      <c r="B1212" s="77" t="s">
        <v>685</v>
      </c>
      <c r="C1212" s="537" t="s">
        <v>1021</v>
      </c>
      <c r="D1212" s="537" t="s">
        <v>949</v>
      </c>
      <c r="E1212" s="290" t="s">
        <v>422</v>
      </c>
      <c r="F1212" s="291">
        <f>150000+60000+10000</f>
        <v>220000</v>
      </c>
      <c r="G1212" s="135"/>
      <c r="H1212" s="135"/>
      <c r="I1212" s="136"/>
      <c r="J1212" s="135"/>
      <c r="K1212" s="291">
        <f t="shared" si="146"/>
        <v>220000</v>
      </c>
      <c r="L1212" s="291">
        <v>220000</v>
      </c>
      <c r="M1212" s="291">
        <f t="shared" si="147"/>
        <v>0</v>
      </c>
      <c r="N1212" s="282">
        <f t="shared" si="148"/>
        <v>0</v>
      </c>
      <c r="O1212" s="291">
        <f t="shared" si="149"/>
        <v>0</v>
      </c>
      <c r="P1212" s="282">
        <f t="shared" si="150"/>
        <v>0</v>
      </c>
    </row>
    <row r="1213" spans="1:16">
      <c r="E1213" s="285"/>
      <c r="F1213" s="286"/>
      <c r="G1213" s="135"/>
      <c r="H1213" s="135"/>
      <c r="I1213" s="136"/>
      <c r="J1213" s="135"/>
      <c r="K1213" s="286">
        <f t="shared" si="146"/>
        <v>0</v>
      </c>
      <c r="L1213" s="286">
        <v>0</v>
      </c>
      <c r="M1213" s="286">
        <f t="shared" si="147"/>
        <v>0</v>
      </c>
      <c r="N1213" s="287"/>
      <c r="O1213" s="286">
        <f t="shared" si="149"/>
        <v>0</v>
      </c>
      <c r="P1213" s="287"/>
    </row>
    <row r="1214" spans="1:16">
      <c r="A1214" s="77" t="s">
        <v>671</v>
      </c>
      <c r="B1214" s="77" t="s">
        <v>685</v>
      </c>
      <c r="C1214" s="537" t="s">
        <v>957</v>
      </c>
      <c r="D1214" s="537" t="s">
        <v>989</v>
      </c>
      <c r="E1214" s="273" t="s">
        <v>299</v>
      </c>
      <c r="F1214" s="131">
        <v>9500</v>
      </c>
      <c r="G1214" s="135"/>
      <c r="H1214" s="135"/>
      <c r="I1214" s="136"/>
      <c r="J1214" s="135"/>
      <c r="K1214" s="131">
        <f t="shared" si="146"/>
        <v>9500</v>
      </c>
      <c r="L1214" s="131">
        <v>9500</v>
      </c>
      <c r="M1214" s="131">
        <f t="shared" si="147"/>
        <v>0</v>
      </c>
      <c r="N1214" s="157">
        <f t="shared" si="148"/>
        <v>0</v>
      </c>
      <c r="O1214" s="131">
        <f t="shared" si="149"/>
        <v>0</v>
      </c>
      <c r="P1214" s="157">
        <f t="shared" si="150"/>
        <v>0</v>
      </c>
    </row>
    <row r="1215" spans="1:16">
      <c r="E1215" s="130" t="s">
        <v>47</v>
      </c>
      <c r="F1215" s="124">
        <v>7100</v>
      </c>
      <c r="G1215" s="135"/>
      <c r="H1215" s="135"/>
      <c r="I1215" s="136"/>
      <c r="J1215" s="135"/>
      <c r="K1215" s="124">
        <f t="shared" si="146"/>
        <v>7100</v>
      </c>
      <c r="L1215" s="124">
        <v>7100</v>
      </c>
      <c r="M1215" s="124">
        <f t="shared" si="147"/>
        <v>0</v>
      </c>
      <c r="N1215" s="270">
        <f t="shared" si="148"/>
        <v>0</v>
      </c>
      <c r="O1215" s="124">
        <f t="shared" si="149"/>
        <v>0</v>
      </c>
      <c r="P1215" s="270">
        <f t="shared" si="150"/>
        <v>0</v>
      </c>
    </row>
    <row r="1216" spans="1:16">
      <c r="E1216" s="130"/>
      <c r="F1216" s="124"/>
      <c r="G1216" s="135"/>
      <c r="H1216" s="135"/>
      <c r="I1216" s="136"/>
      <c r="J1216" s="135"/>
      <c r="K1216" s="124">
        <f t="shared" si="146"/>
        <v>0</v>
      </c>
      <c r="L1216" s="124">
        <v>0</v>
      </c>
      <c r="M1216" s="124">
        <f t="shared" si="147"/>
        <v>0</v>
      </c>
      <c r="N1216" s="270"/>
      <c r="O1216" s="124">
        <f t="shared" si="149"/>
        <v>0</v>
      </c>
      <c r="P1216" s="270"/>
    </row>
    <row r="1217" spans="1:16">
      <c r="A1217" s="77" t="s">
        <v>679</v>
      </c>
      <c r="B1217" s="77" t="s">
        <v>685</v>
      </c>
      <c r="C1217" s="537" t="s">
        <v>1021</v>
      </c>
      <c r="D1217" s="537" t="s">
        <v>1007</v>
      </c>
      <c r="E1217" s="290" t="s">
        <v>391</v>
      </c>
      <c r="F1217" s="291">
        <v>40000</v>
      </c>
      <c r="G1217" s="135"/>
      <c r="H1217" s="135"/>
      <c r="I1217" s="136"/>
      <c r="J1217" s="135"/>
      <c r="K1217" s="291">
        <f t="shared" si="146"/>
        <v>40000</v>
      </c>
      <c r="L1217" s="291">
        <v>40000</v>
      </c>
      <c r="M1217" s="291">
        <f t="shared" si="147"/>
        <v>0</v>
      </c>
      <c r="N1217" s="282">
        <f t="shared" si="148"/>
        <v>0</v>
      </c>
      <c r="O1217" s="291">
        <f t="shared" si="149"/>
        <v>0</v>
      </c>
      <c r="P1217" s="282">
        <f t="shared" si="150"/>
        <v>0</v>
      </c>
    </row>
    <row r="1218" spans="1:16">
      <c r="E1218" s="290"/>
      <c r="F1218" s="291"/>
      <c r="G1218" s="135"/>
      <c r="H1218" s="135"/>
      <c r="I1218" s="136"/>
      <c r="J1218" s="135"/>
      <c r="K1218" s="291">
        <f t="shared" si="146"/>
        <v>0</v>
      </c>
      <c r="L1218" s="291">
        <v>0</v>
      </c>
      <c r="M1218" s="291">
        <f t="shared" si="147"/>
        <v>0</v>
      </c>
      <c r="N1218" s="282"/>
      <c r="O1218" s="291">
        <f t="shared" si="149"/>
        <v>0</v>
      </c>
      <c r="P1218" s="282"/>
    </row>
    <row r="1219" spans="1:16">
      <c r="A1219" s="77" t="s">
        <v>679</v>
      </c>
      <c r="B1219" s="77" t="s">
        <v>685</v>
      </c>
      <c r="C1219" s="537" t="s">
        <v>1021</v>
      </c>
      <c r="D1219" s="537" t="s">
        <v>1007</v>
      </c>
      <c r="E1219" s="290" t="s">
        <v>423</v>
      </c>
      <c r="F1219" s="291">
        <v>1799250</v>
      </c>
      <c r="G1219" s="135"/>
      <c r="H1219" s="291">
        <v>301300</v>
      </c>
      <c r="I1219" s="291">
        <f>SUM(I1220:I1227)</f>
        <v>36260</v>
      </c>
      <c r="J1219" s="135"/>
      <c r="K1219" s="291">
        <f t="shared" si="146"/>
        <v>2136810</v>
      </c>
      <c r="L1219" s="291">
        <v>2182402</v>
      </c>
      <c r="M1219" s="291">
        <f t="shared" si="147"/>
        <v>383152</v>
      </c>
      <c r="N1219" s="282">
        <f t="shared" si="148"/>
        <v>0.21295095178546616</v>
      </c>
      <c r="O1219" s="291">
        <f t="shared" si="149"/>
        <v>45592</v>
      </c>
      <c r="P1219" s="282">
        <f t="shared" si="150"/>
        <v>2.1336478208170123E-2</v>
      </c>
    </row>
    <row r="1220" spans="1:16">
      <c r="E1220" s="296" t="s">
        <v>539</v>
      </c>
      <c r="F1220" s="298">
        <v>94500</v>
      </c>
      <c r="G1220" s="135"/>
      <c r="H1220" s="298">
        <v>22300</v>
      </c>
      <c r="I1220" s="298"/>
      <c r="J1220" s="135"/>
      <c r="K1220" s="298">
        <f t="shared" si="146"/>
        <v>116800</v>
      </c>
      <c r="L1220" s="298">
        <v>114552</v>
      </c>
      <c r="M1220" s="298">
        <f t="shared" si="147"/>
        <v>20052</v>
      </c>
      <c r="N1220" s="299">
        <f t="shared" si="148"/>
        <v>0.21219047619047618</v>
      </c>
      <c r="O1220" s="298">
        <f t="shared" si="149"/>
        <v>-2248</v>
      </c>
      <c r="P1220" s="299">
        <f t="shared" si="150"/>
        <v>-1.9246575342465752E-2</v>
      </c>
    </row>
    <row r="1221" spans="1:16">
      <c r="E1221" s="297" t="s">
        <v>296</v>
      </c>
      <c r="F1221" s="298">
        <v>570350</v>
      </c>
      <c r="G1221" s="135"/>
      <c r="H1221" s="298">
        <v>120000</v>
      </c>
      <c r="I1221" s="298"/>
      <c r="J1221" s="135"/>
      <c r="K1221" s="298">
        <f t="shared" si="146"/>
        <v>690350</v>
      </c>
      <c r="L1221" s="298">
        <v>690350</v>
      </c>
      <c r="M1221" s="298">
        <f t="shared" si="147"/>
        <v>120000</v>
      </c>
      <c r="N1221" s="299">
        <f t="shared" si="148"/>
        <v>0.21039712457263085</v>
      </c>
      <c r="O1221" s="298">
        <f t="shared" si="149"/>
        <v>0</v>
      </c>
      <c r="P1221" s="299">
        <f t="shared" si="150"/>
        <v>0</v>
      </c>
    </row>
    <row r="1222" spans="1:16">
      <c r="E1222" s="297" t="s">
        <v>932</v>
      </c>
      <c r="F1222" s="298"/>
      <c r="G1222" s="135"/>
      <c r="H1222" s="298">
        <v>30000</v>
      </c>
      <c r="I1222" s="298"/>
      <c r="J1222" s="135"/>
      <c r="K1222" s="298">
        <f t="shared" si="146"/>
        <v>30000</v>
      </c>
      <c r="L1222" s="298">
        <v>0</v>
      </c>
      <c r="M1222" s="298">
        <f t="shared" si="147"/>
        <v>0</v>
      </c>
      <c r="N1222" s="299"/>
      <c r="O1222" s="298">
        <f t="shared" si="149"/>
        <v>-30000</v>
      </c>
      <c r="P1222" s="299">
        <f t="shared" si="150"/>
        <v>-1</v>
      </c>
    </row>
    <row r="1223" spans="1:16">
      <c r="E1223" s="297" t="s">
        <v>297</v>
      </c>
      <c r="F1223" s="298">
        <v>67900</v>
      </c>
      <c r="G1223" s="135"/>
      <c r="H1223" s="135"/>
      <c r="I1223" s="381">
        <v>-27900</v>
      </c>
      <c r="J1223" s="135"/>
      <c r="K1223" s="298">
        <f t="shared" si="146"/>
        <v>40000</v>
      </c>
      <c r="L1223" s="298">
        <v>67900</v>
      </c>
      <c r="M1223" s="298">
        <f t="shared" si="147"/>
        <v>0</v>
      </c>
      <c r="N1223" s="299">
        <f t="shared" si="148"/>
        <v>0</v>
      </c>
      <c r="O1223" s="298">
        <f t="shared" si="149"/>
        <v>27900</v>
      </c>
      <c r="P1223" s="299">
        <f t="shared" si="150"/>
        <v>0.69750000000000001</v>
      </c>
    </row>
    <row r="1224" spans="1:16">
      <c r="E1224" s="297" t="s">
        <v>298</v>
      </c>
      <c r="F1224" s="298">
        <v>24000</v>
      </c>
      <c r="G1224" s="135"/>
      <c r="H1224" s="135"/>
      <c r="I1224" s="136"/>
      <c r="J1224" s="135"/>
      <c r="K1224" s="298">
        <f t="shared" ref="K1224:K1287" si="157">F1224+G1224+H1224+J1224+I1224</f>
        <v>24000</v>
      </c>
      <c r="L1224" s="298">
        <v>50000</v>
      </c>
      <c r="M1224" s="298">
        <f t="shared" ref="M1224:M1287" si="158">L1224-F1224</f>
        <v>26000</v>
      </c>
      <c r="N1224" s="299">
        <f t="shared" ref="N1224:N1287" si="159">M1224/F1224</f>
        <v>1.0833333333333333</v>
      </c>
      <c r="O1224" s="298">
        <f t="shared" ref="O1224:O1287" si="160">L1224-K1224</f>
        <v>26000</v>
      </c>
      <c r="P1224" s="299">
        <f t="shared" ref="P1224:P1287" si="161">O1224/K1224</f>
        <v>1.0833333333333333</v>
      </c>
    </row>
    <row r="1225" spans="1:16">
      <c r="E1225" s="297" t="s">
        <v>424</v>
      </c>
      <c r="F1225" s="298">
        <v>231000</v>
      </c>
      <c r="G1225" s="135"/>
      <c r="H1225" s="298">
        <v>129000</v>
      </c>
      <c r="I1225" s="381">
        <v>131000</v>
      </c>
      <c r="J1225" s="135"/>
      <c r="K1225" s="298">
        <f t="shared" si="157"/>
        <v>491000</v>
      </c>
      <c r="L1225" s="298">
        <v>510900</v>
      </c>
      <c r="M1225" s="298">
        <f t="shared" si="158"/>
        <v>279900</v>
      </c>
      <c r="N1225" s="299">
        <f t="shared" si="159"/>
        <v>1.2116883116883117</v>
      </c>
      <c r="O1225" s="298">
        <f t="shared" si="160"/>
        <v>19900</v>
      </c>
      <c r="P1225" s="299">
        <f t="shared" si="161"/>
        <v>4.0529531568228104E-2</v>
      </c>
    </row>
    <row r="1226" spans="1:16">
      <c r="E1226" s="297" t="s">
        <v>287</v>
      </c>
      <c r="F1226" s="298">
        <v>25000</v>
      </c>
      <c r="G1226" s="135"/>
      <c r="H1226" s="298">
        <v>9000</v>
      </c>
      <c r="I1226" s="298"/>
      <c r="J1226" s="135"/>
      <c r="K1226" s="298">
        <f t="shared" si="157"/>
        <v>34000</v>
      </c>
      <c r="L1226" s="298">
        <v>34000</v>
      </c>
      <c r="M1226" s="298">
        <f t="shared" si="158"/>
        <v>9000</v>
      </c>
      <c r="N1226" s="299">
        <f t="shared" si="159"/>
        <v>0.36</v>
      </c>
      <c r="O1226" s="298">
        <f t="shared" si="160"/>
        <v>0</v>
      </c>
      <c r="P1226" s="299">
        <f t="shared" si="161"/>
        <v>0</v>
      </c>
    </row>
    <row r="1227" spans="1:16" ht="20.399999999999999">
      <c r="E1227" s="183" t="s">
        <v>933</v>
      </c>
      <c r="F1227" s="298">
        <v>693000</v>
      </c>
      <c r="G1227" s="135"/>
      <c r="H1227" s="135"/>
      <c r="I1227" s="381">
        <v>-66840</v>
      </c>
      <c r="J1227" s="135"/>
      <c r="K1227" s="298">
        <f t="shared" si="157"/>
        <v>626160</v>
      </c>
      <c r="L1227" s="298">
        <v>629900</v>
      </c>
      <c r="M1227" s="298">
        <f t="shared" si="158"/>
        <v>-63100</v>
      </c>
      <c r="N1227" s="299">
        <f t="shared" si="159"/>
        <v>-9.1053391053391053E-2</v>
      </c>
      <c r="O1227" s="298">
        <f t="shared" si="160"/>
        <v>3740</v>
      </c>
      <c r="P1227" s="299">
        <f t="shared" si="161"/>
        <v>5.9729142711128147E-3</v>
      </c>
    </row>
    <row r="1228" spans="1:16">
      <c r="E1228" s="290"/>
      <c r="F1228" s="291"/>
      <c r="G1228" s="135"/>
      <c r="H1228" s="135"/>
      <c r="I1228" s="136"/>
      <c r="J1228" s="135"/>
      <c r="K1228" s="291">
        <f t="shared" si="157"/>
        <v>0</v>
      </c>
      <c r="L1228" s="291">
        <v>0</v>
      </c>
      <c r="M1228" s="291">
        <f t="shared" si="158"/>
        <v>0</v>
      </c>
      <c r="N1228" s="282"/>
      <c r="O1228" s="291">
        <f t="shared" si="160"/>
        <v>0</v>
      </c>
      <c r="P1228" s="282"/>
    </row>
    <row r="1229" spans="1:16">
      <c r="E1229" s="391" t="s">
        <v>284</v>
      </c>
      <c r="F1229" s="298"/>
      <c r="G1229" s="135"/>
      <c r="H1229" s="135"/>
      <c r="I1229" s="136"/>
      <c r="J1229" s="135"/>
      <c r="K1229" s="298">
        <f t="shared" si="157"/>
        <v>0</v>
      </c>
      <c r="L1229" s="298">
        <v>0</v>
      </c>
      <c r="M1229" s="298">
        <f t="shared" si="158"/>
        <v>0</v>
      </c>
      <c r="N1229" s="299"/>
      <c r="O1229" s="298">
        <f t="shared" si="160"/>
        <v>0</v>
      </c>
      <c r="P1229" s="299"/>
    </row>
    <row r="1230" spans="1:16">
      <c r="E1230" s="267"/>
      <c r="F1230" s="268"/>
      <c r="G1230" s="135"/>
      <c r="H1230" s="135"/>
      <c r="I1230" s="136"/>
      <c r="J1230" s="135"/>
      <c r="K1230" s="268">
        <f t="shared" si="157"/>
        <v>0</v>
      </c>
      <c r="L1230" s="268">
        <v>0</v>
      </c>
      <c r="M1230" s="268">
        <f t="shared" si="158"/>
        <v>0</v>
      </c>
      <c r="N1230" s="157"/>
      <c r="O1230" s="268">
        <f t="shared" si="160"/>
        <v>0</v>
      </c>
      <c r="P1230" s="157"/>
    </row>
    <row r="1231" spans="1:16" ht="39.6">
      <c r="A1231" s="77" t="s">
        <v>687</v>
      </c>
      <c r="B1231" s="77" t="s">
        <v>685</v>
      </c>
      <c r="C1231" s="537" t="s">
        <v>1031</v>
      </c>
      <c r="D1231" s="537" t="s">
        <v>984</v>
      </c>
      <c r="E1231" s="290" t="s">
        <v>392</v>
      </c>
      <c r="F1231" s="291">
        <v>51877</v>
      </c>
      <c r="G1231" s="135"/>
      <c r="H1231" s="135"/>
      <c r="I1231" s="136"/>
      <c r="J1231" s="135"/>
      <c r="K1231" s="291">
        <f t="shared" si="157"/>
        <v>51877</v>
      </c>
      <c r="L1231" s="291">
        <v>2808</v>
      </c>
      <c r="M1231" s="291">
        <f t="shared" si="158"/>
        <v>-49069</v>
      </c>
      <c r="N1231" s="282">
        <f t="shared" si="159"/>
        <v>-0.94587196638201898</v>
      </c>
      <c r="O1231" s="291">
        <f t="shared" si="160"/>
        <v>-49069</v>
      </c>
      <c r="P1231" s="282">
        <f t="shared" si="161"/>
        <v>-0.94587196638201898</v>
      </c>
    </row>
    <row r="1232" spans="1:16">
      <c r="E1232" s="130" t="s">
        <v>47</v>
      </c>
      <c r="F1232" s="124">
        <v>25697</v>
      </c>
      <c r="G1232" s="135"/>
      <c r="H1232" s="135"/>
      <c r="I1232" s="124">
        <v>7500</v>
      </c>
      <c r="J1232" s="135"/>
      <c r="K1232" s="124">
        <f t="shared" si="157"/>
        <v>33197</v>
      </c>
      <c r="L1232" s="124"/>
      <c r="M1232" s="124">
        <f t="shared" si="158"/>
        <v>-25697</v>
      </c>
      <c r="N1232" s="270">
        <f t="shared" si="159"/>
        <v>-1</v>
      </c>
      <c r="O1232" s="124">
        <f t="shared" si="160"/>
        <v>-33197</v>
      </c>
      <c r="P1232" s="270">
        <f t="shared" si="161"/>
        <v>-1</v>
      </c>
    </row>
    <row r="1233" spans="1:16">
      <c r="E1233" s="306"/>
      <c r="F1233" s="515"/>
      <c r="G1233" s="135"/>
      <c r="H1233" s="135"/>
      <c r="I1233" s="136"/>
      <c r="J1233" s="135"/>
      <c r="K1233" s="515">
        <f t="shared" si="157"/>
        <v>0</v>
      </c>
      <c r="L1233" s="515">
        <v>0</v>
      </c>
      <c r="M1233" s="515">
        <f t="shared" si="158"/>
        <v>0</v>
      </c>
      <c r="N1233" s="651"/>
      <c r="O1233" s="515">
        <f t="shared" si="160"/>
        <v>0</v>
      </c>
      <c r="P1233" s="651"/>
    </row>
    <row r="1234" spans="1:16">
      <c r="E1234" s="307" t="s">
        <v>224</v>
      </c>
      <c r="F1234" s="125">
        <v>31126</v>
      </c>
      <c r="G1234" s="135"/>
      <c r="H1234" s="135"/>
      <c r="I1234" s="136"/>
      <c r="J1234" s="135"/>
      <c r="K1234" s="125">
        <f t="shared" si="157"/>
        <v>31126</v>
      </c>
      <c r="L1234" s="125">
        <v>1684</v>
      </c>
      <c r="M1234" s="125">
        <f t="shared" si="158"/>
        <v>-29442</v>
      </c>
      <c r="N1234" s="284">
        <f t="shared" si="159"/>
        <v>-0.9458973205680139</v>
      </c>
      <c r="O1234" s="125">
        <f t="shared" si="160"/>
        <v>-29442</v>
      </c>
      <c r="P1234" s="284">
        <f t="shared" si="161"/>
        <v>-0.9458973205680139</v>
      </c>
    </row>
    <row r="1235" spans="1:16">
      <c r="E1235" s="307" t="s">
        <v>934</v>
      </c>
      <c r="F1235" s="125">
        <v>4393</v>
      </c>
      <c r="G1235" s="135"/>
      <c r="H1235" s="135"/>
      <c r="I1235" s="136"/>
      <c r="J1235" s="135"/>
      <c r="K1235" s="125">
        <f t="shared" si="157"/>
        <v>4393</v>
      </c>
      <c r="L1235" s="125">
        <v>0</v>
      </c>
      <c r="M1235" s="125">
        <f t="shared" si="158"/>
        <v>-4393</v>
      </c>
      <c r="N1235" s="284">
        <f t="shared" si="159"/>
        <v>-1</v>
      </c>
      <c r="O1235" s="125">
        <f t="shared" si="160"/>
        <v>-4393</v>
      </c>
      <c r="P1235" s="284">
        <f t="shared" si="161"/>
        <v>-1</v>
      </c>
    </row>
    <row r="1236" spans="1:16">
      <c r="E1236" s="290"/>
      <c r="F1236" s="291"/>
      <c r="G1236" s="135"/>
      <c r="H1236" s="135"/>
      <c r="I1236" s="136"/>
      <c r="J1236" s="135"/>
      <c r="K1236" s="291">
        <f t="shared" si="157"/>
        <v>0</v>
      </c>
      <c r="L1236" s="291">
        <v>0</v>
      </c>
      <c r="M1236" s="291">
        <f t="shared" si="158"/>
        <v>0</v>
      </c>
      <c r="N1236" s="282"/>
      <c r="O1236" s="291">
        <f t="shared" si="160"/>
        <v>0</v>
      </c>
      <c r="P1236" s="282"/>
    </row>
    <row r="1237" spans="1:16" ht="26.4">
      <c r="A1237" s="77" t="s">
        <v>681</v>
      </c>
      <c r="B1237" s="77" t="s">
        <v>685</v>
      </c>
      <c r="C1237" s="537" t="s">
        <v>972</v>
      </c>
      <c r="D1237" s="537" t="s">
        <v>1015</v>
      </c>
      <c r="E1237" s="290" t="s">
        <v>393</v>
      </c>
      <c r="F1237" s="291">
        <v>25300</v>
      </c>
      <c r="G1237" s="135"/>
      <c r="H1237" s="135"/>
      <c r="I1237" s="136"/>
      <c r="J1237" s="135"/>
      <c r="K1237" s="291">
        <f t="shared" si="157"/>
        <v>25300</v>
      </c>
      <c r="L1237" s="291">
        <v>25000</v>
      </c>
      <c r="M1237" s="291">
        <f t="shared" si="158"/>
        <v>-300</v>
      </c>
      <c r="N1237" s="282">
        <f t="shared" si="159"/>
        <v>-1.1857707509881422E-2</v>
      </c>
      <c r="O1237" s="291">
        <f t="shared" si="160"/>
        <v>-300</v>
      </c>
      <c r="P1237" s="282">
        <f t="shared" si="161"/>
        <v>-1.1857707509881422E-2</v>
      </c>
    </row>
    <row r="1238" spans="1:16">
      <c r="E1238" s="130" t="s">
        <v>47</v>
      </c>
      <c r="F1238" s="124">
        <v>4260</v>
      </c>
      <c r="G1238" s="135"/>
      <c r="H1238" s="135"/>
      <c r="I1238" s="136"/>
      <c r="J1238" s="135"/>
      <c r="K1238" s="124">
        <f t="shared" si="157"/>
        <v>4260</v>
      </c>
      <c r="L1238" s="124">
        <v>4260</v>
      </c>
      <c r="M1238" s="124">
        <f t="shared" si="158"/>
        <v>0</v>
      </c>
      <c r="N1238" s="270">
        <f t="shared" si="159"/>
        <v>0</v>
      </c>
      <c r="O1238" s="124">
        <f t="shared" si="160"/>
        <v>0</v>
      </c>
      <c r="P1238" s="270">
        <f t="shared" si="161"/>
        <v>0</v>
      </c>
    </row>
    <row r="1239" spans="1:16">
      <c r="E1239" s="285"/>
      <c r="F1239" s="286"/>
      <c r="G1239" s="135"/>
      <c r="H1239" s="135"/>
      <c r="I1239" s="136"/>
      <c r="J1239" s="135"/>
      <c r="K1239" s="286">
        <f t="shared" si="157"/>
        <v>0</v>
      </c>
      <c r="L1239" s="286">
        <v>0</v>
      </c>
      <c r="M1239" s="286">
        <f t="shared" si="158"/>
        <v>0</v>
      </c>
      <c r="N1239" s="287"/>
      <c r="O1239" s="286">
        <f t="shared" si="160"/>
        <v>0</v>
      </c>
      <c r="P1239" s="287"/>
    </row>
    <row r="1240" spans="1:16">
      <c r="E1240" s="307" t="s">
        <v>224</v>
      </c>
      <c r="F1240" s="125">
        <v>15180</v>
      </c>
      <c r="G1240" s="135"/>
      <c r="H1240" s="135"/>
      <c r="I1240" s="136"/>
      <c r="J1240" s="135"/>
      <c r="K1240" s="125">
        <f t="shared" si="157"/>
        <v>15180</v>
      </c>
      <c r="L1240" s="125">
        <v>15000</v>
      </c>
      <c r="M1240" s="125">
        <f t="shared" si="158"/>
        <v>-180</v>
      </c>
      <c r="N1240" s="284">
        <f t="shared" si="159"/>
        <v>-1.1857707509881422E-2</v>
      </c>
      <c r="O1240" s="125">
        <f t="shared" si="160"/>
        <v>-180</v>
      </c>
      <c r="P1240" s="284">
        <f t="shared" si="161"/>
        <v>-1.1857707509881422E-2</v>
      </c>
    </row>
    <row r="1241" spans="1:16">
      <c r="E1241" s="307"/>
      <c r="F1241" s="125"/>
      <c r="G1241" s="135"/>
      <c r="H1241" s="135"/>
      <c r="I1241" s="136"/>
      <c r="J1241" s="135"/>
      <c r="K1241" s="125">
        <f t="shared" si="157"/>
        <v>0</v>
      </c>
      <c r="L1241" s="125">
        <v>0</v>
      </c>
      <c r="M1241" s="125">
        <f t="shared" si="158"/>
        <v>0</v>
      </c>
      <c r="N1241" s="284"/>
      <c r="O1241" s="125">
        <f t="shared" si="160"/>
        <v>0</v>
      </c>
      <c r="P1241" s="284"/>
    </row>
    <row r="1242" spans="1:16" ht="26.4">
      <c r="A1242" s="77" t="s">
        <v>679</v>
      </c>
      <c r="B1242" s="77" t="s">
        <v>685</v>
      </c>
      <c r="C1242" s="537" t="s">
        <v>1021</v>
      </c>
      <c r="D1242" s="537" t="s">
        <v>979</v>
      </c>
      <c r="E1242" s="290" t="s">
        <v>608</v>
      </c>
      <c r="F1242" s="291">
        <v>50000</v>
      </c>
      <c r="G1242" s="135"/>
      <c r="H1242" s="135"/>
      <c r="I1242" s="136">
        <v>-27536</v>
      </c>
      <c r="J1242" s="135"/>
      <c r="K1242" s="291">
        <f t="shared" si="157"/>
        <v>22464</v>
      </c>
      <c r="L1242" s="291">
        <v>50000</v>
      </c>
      <c r="M1242" s="291">
        <f t="shared" si="158"/>
        <v>0</v>
      </c>
      <c r="N1242" s="282">
        <f t="shared" si="159"/>
        <v>0</v>
      </c>
      <c r="O1242" s="291">
        <f t="shared" si="160"/>
        <v>27536</v>
      </c>
      <c r="P1242" s="282">
        <f t="shared" si="161"/>
        <v>1.2257834757834758</v>
      </c>
    </row>
    <row r="1243" spans="1:16">
      <c r="E1243" s="307"/>
      <c r="F1243" s="125"/>
      <c r="G1243" s="135"/>
      <c r="H1243" s="135"/>
      <c r="I1243" s="136"/>
      <c r="J1243" s="135"/>
      <c r="K1243" s="125">
        <f t="shared" si="157"/>
        <v>0</v>
      </c>
      <c r="L1243" s="125">
        <v>0</v>
      </c>
      <c r="M1243" s="125">
        <f t="shared" si="158"/>
        <v>0</v>
      </c>
      <c r="N1243" s="284"/>
      <c r="O1243" s="125">
        <f t="shared" si="160"/>
        <v>0</v>
      </c>
      <c r="P1243" s="284"/>
    </row>
    <row r="1244" spans="1:16">
      <c r="E1244" s="722"/>
      <c r="F1244" s="291"/>
      <c r="G1244" s="135"/>
      <c r="H1244" s="135"/>
      <c r="I1244" s="136"/>
      <c r="J1244" s="135"/>
      <c r="K1244" s="291">
        <f t="shared" si="157"/>
        <v>0</v>
      </c>
      <c r="L1244" s="291">
        <v>0</v>
      </c>
      <c r="M1244" s="291">
        <f t="shared" si="158"/>
        <v>0</v>
      </c>
      <c r="N1244" s="282"/>
      <c r="O1244" s="291">
        <f t="shared" si="160"/>
        <v>0</v>
      </c>
      <c r="P1244" s="282"/>
    </row>
    <row r="1245" spans="1:16" ht="15.6">
      <c r="E1245" s="259" t="s">
        <v>36</v>
      </c>
      <c r="F1245" s="260"/>
      <c r="G1245" s="135"/>
      <c r="H1245" s="135"/>
      <c r="I1245" s="136"/>
      <c r="J1245" s="135"/>
      <c r="K1245" s="260">
        <f t="shared" si="157"/>
        <v>0</v>
      </c>
      <c r="L1245" s="260">
        <v>0</v>
      </c>
      <c r="M1245" s="260">
        <f t="shared" si="158"/>
        <v>0</v>
      </c>
      <c r="N1245" s="275"/>
      <c r="O1245" s="260">
        <f t="shared" si="160"/>
        <v>0</v>
      </c>
      <c r="P1245" s="275"/>
    </row>
    <row r="1246" spans="1:16">
      <c r="E1246" s="147"/>
      <c r="F1246" s="136"/>
      <c r="G1246" s="135"/>
      <c r="H1246" s="135"/>
      <c r="I1246" s="136"/>
      <c r="J1246" s="135"/>
      <c r="K1246" s="136">
        <f t="shared" si="157"/>
        <v>0</v>
      </c>
      <c r="L1246" s="136">
        <v>0</v>
      </c>
      <c r="M1246" s="136">
        <f t="shared" si="158"/>
        <v>0</v>
      </c>
      <c r="N1246" s="157"/>
      <c r="O1246" s="136">
        <f t="shared" si="160"/>
        <v>0</v>
      </c>
      <c r="P1246" s="157"/>
    </row>
    <row r="1247" spans="1:16">
      <c r="E1247" s="261" t="s">
        <v>98</v>
      </c>
      <c r="F1247" s="127">
        <f>SUM(F1255,F1258,F1260,F1262,F1265)</f>
        <v>4653907</v>
      </c>
      <c r="G1247" s="135"/>
      <c r="H1247" s="127">
        <f>SUM(H1255,H1258,H1260,H1262,H1265)</f>
        <v>654704</v>
      </c>
      <c r="I1247" s="127">
        <f>SUM(I1255,I1258,I1260,I1262,I1265)</f>
        <v>-37932</v>
      </c>
      <c r="J1247" s="127">
        <f>SUM(J1255,J1258,J1260,J1262,J1265)</f>
        <v>285284</v>
      </c>
      <c r="K1247" s="127">
        <f t="shared" si="157"/>
        <v>5555963</v>
      </c>
      <c r="L1247" s="127">
        <f>SUM(L1255,L1258,L1260,L1262,L1265)</f>
        <v>5535300</v>
      </c>
      <c r="M1247" s="127">
        <f t="shared" si="158"/>
        <v>881393</v>
      </c>
      <c r="N1247" s="160">
        <f t="shared" si="159"/>
        <v>0.18938775527744753</v>
      </c>
      <c r="O1247" s="127">
        <f t="shared" si="160"/>
        <v>-20663</v>
      </c>
      <c r="P1247" s="160">
        <f t="shared" si="161"/>
        <v>-3.7190672436083539E-3</v>
      </c>
    </row>
    <row r="1248" spans="1:16">
      <c r="E1248" s="262" t="s">
        <v>359</v>
      </c>
      <c r="F1248" s="128">
        <v>89000</v>
      </c>
      <c r="G1248" s="135"/>
      <c r="H1248" s="135"/>
      <c r="I1248" s="135"/>
      <c r="J1248" s="135"/>
      <c r="K1248" s="128">
        <f t="shared" si="157"/>
        <v>89000</v>
      </c>
      <c r="L1248" s="128">
        <v>89000</v>
      </c>
      <c r="M1248" s="128">
        <f t="shared" si="158"/>
        <v>0</v>
      </c>
      <c r="N1248" s="91">
        <f t="shared" si="159"/>
        <v>0</v>
      </c>
      <c r="O1248" s="128">
        <f t="shared" si="160"/>
        <v>0</v>
      </c>
      <c r="P1248" s="91">
        <f t="shared" si="161"/>
        <v>0</v>
      </c>
    </row>
    <row r="1249" spans="1:16">
      <c r="E1249" s="261" t="s">
        <v>44</v>
      </c>
      <c r="F1249" s="127">
        <f>SUM(F1250:F1252)</f>
        <v>4653907</v>
      </c>
      <c r="G1249" s="135"/>
      <c r="H1249" s="127">
        <f>SUM(H1250:H1252)</f>
        <v>654704</v>
      </c>
      <c r="I1249" s="127">
        <f>SUM(I1250:I1252)</f>
        <v>-37932</v>
      </c>
      <c r="J1249" s="127">
        <f>SUM(J1250:J1252)</f>
        <v>285284</v>
      </c>
      <c r="K1249" s="127">
        <f t="shared" si="157"/>
        <v>5555963</v>
      </c>
      <c r="L1249" s="127">
        <f>L1250+L1251+L1252</f>
        <v>5535300</v>
      </c>
      <c r="M1249" s="127">
        <f t="shared" si="158"/>
        <v>881393</v>
      </c>
      <c r="N1249" s="160">
        <f t="shared" si="159"/>
        <v>0.18938775527744753</v>
      </c>
      <c r="O1249" s="127">
        <f t="shared" si="160"/>
        <v>-20663</v>
      </c>
      <c r="P1249" s="160">
        <f t="shared" si="161"/>
        <v>-3.7190672436083539E-3</v>
      </c>
    </row>
    <row r="1250" spans="1:16">
      <c r="E1250" s="262" t="s">
        <v>45</v>
      </c>
      <c r="F1250" s="128">
        <v>9600</v>
      </c>
      <c r="G1250" s="135"/>
      <c r="H1250" s="135"/>
      <c r="I1250" s="135"/>
      <c r="J1250" s="135"/>
      <c r="K1250" s="128">
        <f t="shared" si="157"/>
        <v>9600</v>
      </c>
      <c r="L1250" s="128">
        <v>12100</v>
      </c>
      <c r="M1250" s="128">
        <f t="shared" si="158"/>
        <v>2500</v>
      </c>
      <c r="N1250" s="91">
        <f t="shared" si="159"/>
        <v>0.26041666666666669</v>
      </c>
      <c r="O1250" s="128">
        <f t="shared" si="160"/>
        <v>2500</v>
      </c>
      <c r="P1250" s="91">
        <f t="shared" si="161"/>
        <v>0.26041666666666669</v>
      </c>
    </row>
    <row r="1251" spans="1:16">
      <c r="E1251" s="263" t="s">
        <v>0</v>
      </c>
      <c r="F1251" s="128">
        <v>90382</v>
      </c>
      <c r="G1251" s="135"/>
      <c r="H1251" s="135"/>
      <c r="I1251" s="135"/>
      <c r="J1251" s="135"/>
      <c r="K1251" s="128">
        <f t="shared" si="157"/>
        <v>90382</v>
      </c>
      <c r="L1251" s="128">
        <v>86100</v>
      </c>
      <c r="M1251" s="128">
        <f t="shared" si="158"/>
        <v>-4282</v>
      </c>
      <c r="N1251" s="91">
        <f t="shared" si="159"/>
        <v>-4.737669004890354E-2</v>
      </c>
      <c r="O1251" s="128">
        <f t="shared" si="160"/>
        <v>-4282</v>
      </c>
      <c r="P1251" s="91">
        <f t="shared" si="161"/>
        <v>-4.737669004890354E-2</v>
      </c>
    </row>
    <row r="1252" spans="1:16">
      <c r="E1252" s="263" t="s">
        <v>46</v>
      </c>
      <c r="F1252" s="128">
        <f>F1247-F1250-F1251</f>
        <v>4553925</v>
      </c>
      <c r="G1252" s="135"/>
      <c r="H1252" s="128">
        <f>H1247-H1250-H1251</f>
        <v>654704</v>
      </c>
      <c r="I1252" s="128">
        <f>I1247-I1250-I1251</f>
        <v>-37932</v>
      </c>
      <c r="J1252" s="128">
        <f>J1247-J1250-J1251</f>
        <v>285284</v>
      </c>
      <c r="K1252" s="128">
        <f t="shared" si="157"/>
        <v>5455981</v>
      </c>
      <c r="L1252" s="128">
        <f>L1247-L1250-L1251</f>
        <v>5437100</v>
      </c>
      <c r="M1252" s="128">
        <f t="shared" si="158"/>
        <v>883175</v>
      </c>
      <c r="N1252" s="91">
        <f t="shared" si="159"/>
        <v>0.19393709821747174</v>
      </c>
      <c r="O1252" s="128">
        <f t="shared" si="160"/>
        <v>-18881</v>
      </c>
      <c r="P1252" s="91">
        <f t="shared" si="161"/>
        <v>-3.4606058928724273E-3</v>
      </c>
    </row>
    <row r="1253" spans="1:16" s="10" customFormat="1">
      <c r="A1253" s="135"/>
      <c r="B1253" s="135"/>
      <c r="C1253" s="482"/>
      <c r="D1253" s="482"/>
      <c r="E1253" s="264" t="s">
        <v>718</v>
      </c>
      <c r="F1253" s="129">
        <f>F1256</f>
        <v>2809770</v>
      </c>
      <c r="G1253" s="135"/>
      <c r="H1253" s="129">
        <f>H1256+H1263</f>
        <v>-21306</v>
      </c>
      <c r="I1253" s="129">
        <f>I1256+I1263</f>
        <v>-28350</v>
      </c>
      <c r="J1253" s="129">
        <f>J1256</f>
        <v>213217</v>
      </c>
      <c r="K1253" s="129">
        <f t="shared" si="157"/>
        <v>2973331</v>
      </c>
      <c r="L1253" s="129">
        <f>L1256+L1263</f>
        <v>3095749</v>
      </c>
      <c r="M1253" s="129">
        <f t="shared" si="158"/>
        <v>285979</v>
      </c>
      <c r="N1253" s="265">
        <f t="shared" si="159"/>
        <v>0.10178021688607965</v>
      </c>
      <c r="O1253" s="129">
        <f t="shared" si="160"/>
        <v>122418</v>
      </c>
      <c r="P1253" s="265">
        <f t="shared" si="161"/>
        <v>4.1172005404040118E-2</v>
      </c>
    </row>
    <row r="1254" spans="1:16">
      <c r="E1254" s="147"/>
      <c r="F1254" s="136"/>
      <c r="G1254" s="135"/>
      <c r="H1254" s="136"/>
      <c r="I1254" s="136"/>
      <c r="J1254" s="135"/>
      <c r="K1254" s="136">
        <f t="shared" si="157"/>
        <v>0</v>
      </c>
      <c r="L1254" s="136">
        <v>0</v>
      </c>
      <c r="M1254" s="136">
        <f t="shared" si="158"/>
        <v>0</v>
      </c>
      <c r="N1254" s="157"/>
      <c r="O1254" s="136">
        <f t="shared" si="160"/>
        <v>0</v>
      </c>
      <c r="P1254" s="157"/>
    </row>
    <row r="1255" spans="1:16">
      <c r="A1255" s="77" t="s">
        <v>688</v>
      </c>
      <c r="B1255" s="77" t="s">
        <v>689</v>
      </c>
      <c r="C1255" s="537" t="s">
        <v>1026</v>
      </c>
      <c r="D1255" s="537"/>
      <c r="E1255" s="267" t="s">
        <v>36</v>
      </c>
      <c r="F1255" s="268">
        <v>3940942</v>
      </c>
      <c r="G1255" s="135"/>
      <c r="H1255" s="268">
        <v>-86345</v>
      </c>
      <c r="I1255" s="268">
        <v>-37932</v>
      </c>
      <c r="J1255" s="268">
        <v>285284</v>
      </c>
      <c r="K1255" s="268">
        <f t="shared" si="157"/>
        <v>4101949</v>
      </c>
      <c r="L1255" s="268">
        <v>4302817</v>
      </c>
      <c r="M1255" s="268">
        <f t="shared" si="158"/>
        <v>361875</v>
      </c>
      <c r="N1255" s="157">
        <f t="shared" si="159"/>
        <v>9.1824492722805864E-2</v>
      </c>
      <c r="O1255" s="268">
        <f t="shared" si="160"/>
        <v>200868</v>
      </c>
      <c r="P1255" s="157">
        <f t="shared" si="161"/>
        <v>4.8968916970932599E-2</v>
      </c>
    </row>
    <row r="1256" spans="1:16">
      <c r="C1256" s="512"/>
      <c r="D1256" s="512"/>
      <c r="E1256" s="130" t="s">
        <v>47</v>
      </c>
      <c r="F1256" s="124">
        <v>2809770</v>
      </c>
      <c r="G1256" s="135"/>
      <c r="H1256" s="124">
        <v>-63994</v>
      </c>
      <c r="I1256" s="124">
        <v>-28350</v>
      </c>
      <c r="J1256" s="124">
        <v>213217</v>
      </c>
      <c r="K1256" s="124">
        <f t="shared" si="157"/>
        <v>2930643</v>
      </c>
      <c r="L1256" s="124">
        <v>3031400</v>
      </c>
      <c r="M1256" s="124">
        <f t="shared" si="158"/>
        <v>221630</v>
      </c>
      <c r="N1256" s="270">
        <f t="shared" si="159"/>
        <v>7.8878342355424111E-2</v>
      </c>
      <c r="O1256" s="124">
        <f t="shared" si="160"/>
        <v>100757</v>
      </c>
      <c r="P1256" s="270">
        <f t="shared" si="161"/>
        <v>3.4380509669720942E-2</v>
      </c>
    </row>
    <row r="1257" spans="1:16">
      <c r="E1257" s="130"/>
      <c r="F1257" s="124"/>
      <c r="G1257" s="135"/>
      <c r="H1257" s="136"/>
      <c r="I1257" s="136"/>
      <c r="J1257" s="135"/>
      <c r="K1257" s="124">
        <f t="shared" si="157"/>
        <v>0</v>
      </c>
      <c r="L1257" s="124">
        <v>0</v>
      </c>
      <c r="M1257" s="124">
        <f t="shared" si="158"/>
        <v>0</v>
      </c>
      <c r="N1257" s="270"/>
      <c r="O1257" s="124">
        <f t="shared" si="160"/>
        <v>0</v>
      </c>
      <c r="P1257" s="270"/>
    </row>
    <row r="1258" spans="1:16">
      <c r="A1258" s="77" t="s">
        <v>688</v>
      </c>
      <c r="B1258" s="77" t="s">
        <v>689</v>
      </c>
      <c r="C1258" s="537" t="s">
        <v>1026</v>
      </c>
      <c r="D1258" s="537" t="s">
        <v>1008</v>
      </c>
      <c r="E1258" s="267" t="s">
        <v>300</v>
      </c>
      <c r="F1258" s="268">
        <v>77000</v>
      </c>
      <c r="G1258" s="135"/>
      <c r="H1258" s="131"/>
      <c r="I1258" s="131">
        <v>37500</v>
      </c>
      <c r="J1258" s="135"/>
      <c r="K1258" s="268">
        <f t="shared" si="157"/>
        <v>114500</v>
      </c>
      <c r="L1258" s="268">
        <v>70000</v>
      </c>
      <c r="M1258" s="268">
        <f t="shared" si="158"/>
        <v>-7000</v>
      </c>
      <c r="N1258" s="157">
        <f t="shared" si="159"/>
        <v>-9.0909090909090912E-2</v>
      </c>
      <c r="O1258" s="268">
        <f t="shared" si="160"/>
        <v>-44500</v>
      </c>
      <c r="P1258" s="157">
        <f t="shared" si="161"/>
        <v>-0.388646288209607</v>
      </c>
    </row>
    <row r="1259" spans="1:16">
      <c r="E1259" s="267"/>
      <c r="F1259" s="268"/>
      <c r="G1259" s="135"/>
      <c r="H1259" s="124"/>
      <c r="I1259" s="124"/>
      <c r="J1259" s="135"/>
      <c r="K1259" s="268">
        <f t="shared" si="157"/>
        <v>0</v>
      </c>
      <c r="L1259" s="268">
        <v>0</v>
      </c>
      <c r="M1259" s="268">
        <f t="shared" si="158"/>
        <v>0</v>
      </c>
      <c r="N1259" s="157"/>
      <c r="O1259" s="268">
        <f t="shared" si="160"/>
        <v>0</v>
      </c>
      <c r="P1259" s="157"/>
    </row>
    <row r="1260" spans="1:16">
      <c r="A1260" s="77" t="s">
        <v>688</v>
      </c>
      <c r="B1260" s="77" t="s">
        <v>689</v>
      </c>
      <c r="C1260" s="537" t="s">
        <v>1026</v>
      </c>
      <c r="D1260" s="537" t="s">
        <v>980</v>
      </c>
      <c r="E1260" s="267" t="s">
        <v>301</v>
      </c>
      <c r="F1260" s="268">
        <v>61200</v>
      </c>
      <c r="G1260" s="135"/>
      <c r="H1260" s="136"/>
      <c r="I1260" s="136">
        <v>-37500</v>
      </c>
      <c r="J1260" s="135"/>
      <c r="K1260" s="268">
        <f t="shared" si="157"/>
        <v>23700</v>
      </c>
      <c r="L1260" s="268">
        <v>55000</v>
      </c>
      <c r="M1260" s="268">
        <f t="shared" si="158"/>
        <v>-6200</v>
      </c>
      <c r="N1260" s="157">
        <f t="shared" si="159"/>
        <v>-0.10130718954248366</v>
      </c>
      <c r="O1260" s="268">
        <f t="shared" si="160"/>
        <v>31300</v>
      </c>
      <c r="P1260" s="157">
        <f t="shared" si="161"/>
        <v>1.3206751054852321</v>
      </c>
    </row>
    <row r="1261" spans="1:16">
      <c r="E1261" s="314"/>
      <c r="F1261" s="127"/>
      <c r="G1261" s="135"/>
      <c r="H1261" s="136"/>
      <c r="I1261" s="136"/>
      <c r="J1261" s="135"/>
      <c r="K1261" s="127">
        <f t="shared" si="157"/>
        <v>0</v>
      </c>
      <c r="L1261" s="127">
        <v>0</v>
      </c>
      <c r="M1261" s="127">
        <f t="shared" si="158"/>
        <v>0</v>
      </c>
      <c r="N1261" s="160"/>
      <c r="O1261" s="127">
        <f t="shared" si="160"/>
        <v>0</v>
      </c>
      <c r="P1261" s="160"/>
    </row>
    <row r="1262" spans="1:16">
      <c r="A1262" s="77" t="s">
        <v>672</v>
      </c>
      <c r="B1262" s="77" t="s">
        <v>689</v>
      </c>
      <c r="C1262" s="537" t="s">
        <v>1026</v>
      </c>
      <c r="D1262" s="537" t="s">
        <v>1018</v>
      </c>
      <c r="E1262" s="273" t="s">
        <v>302</v>
      </c>
      <c r="F1262" s="131">
        <v>274765</v>
      </c>
      <c r="G1262" s="135"/>
      <c r="H1262" s="136">
        <v>57117</v>
      </c>
      <c r="I1262" s="136"/>
      <c r="J1262" s="135"/>
      <c r="K1262" s="131">
        <f t="shared" si="157"/>
        <v>331882</v>
      </c>
      <c r="L1262" s="131">
        <v>327483</v>
      </c>
      <c r="M1262" s="131">
        <f t="shared" si="158"/>
        <v>52718</v>
      </c>
      <c r="N1262" s="157">
        <f t="shared" si="159"/>
        <v>0.19186577620876022</v>
      </c>
      <c r="O1262" s="131">
        <f t="shared" si="160"/>
        <v>-4399</v>
      </c>
      <c r="P1262" s="157">
        <f t="shared" si="161"/>
        <v>-1.3254711011745138E-2</v>
      </c>
    </row>
    <row r="1263" spans="1:16">
      <c r="C1263" s="512"/>
      <c r="D1263" s="512"/>
      <c r="E1263" s="130" t="s">
        <v>47</v>
      </c>
      <c r="F1263" s="131"/>
      <c r="G1263" s="135"/>
      <c r="H1263" s="272">
        <v>42688</v>
      </c>
      <c r="I1263" s="272"/>
      <c r="J1263" s="135"/>
      <c r="K1263" s="124">
        <f t="shared" si="157"/>
        <v>42688</v>
      </c>
      <c r="L1263" s="124">
        <v>64349</v>
      </c>
      <c r="M1263" s="124">
        <f t="shared" si="158"/>
        <v>64349</v>
      </c>
      <c r="N1263" s="270"/>
      <c r="O1263" s="124">
        <f t="shared" si="160"/>
        <v>21661</v>
      </c>
      <c r="P1263" s="270">
        <f t="shared" si="161"/>
        <v>0.50742597451274363</v>
      </c>
    </row>
    <row r="1264" spans="1:16">
      <c r="E1264" s="288"/>
      <c r="F1264" s="289"/>
      <c r="G1264" s="135"/>
      <c r="H1264" s="136"/>
      <c r="I1264" s="136"/>
      <c r="J1264" s="135"/>
      <c r="K1264" s="289">
        <f t="shared" si="157"/>
        <v>0</v>
      </c>
      <c r="L1264" s="289">
        <v>0</v>
      </c>
      <c r="M1264" s="289">
        <f t="shared" si="158"/>
        <v>0</v>
      </c>
      <c r="N1264" s="282"/>
      <c r="O1264" s="289">
        <f t="shared" si="160"/>
        <v>0</v>
      </c>
      <c r="P1264" s="282"/>
    </row>
    <row r="1265" spans="1:16" s="77" customFormat="1" ht="33.6">
      <c r="A1265" s="77" t="s">
        <v>672</v>
      </c>
      <c r="B1265" s="77" t="s">
        <v>689</v>
      </c>
      <c r="C1265" s="537" t="s">
        <v>1026</v>
      </c>
      <c r="D1265" s="537" t="s">
        <v>1018</v>
      </c>
      <c r="E1265" s="288" t="s">
        <v>935</v>
      </c>
      <c r="F1265" s="289">
        <v>300000</v>
      </c>
      <c r="G1265" s="135"/>
      <c r="H1265" s="136">
        <v>683932</v>
      </c>
      <c r="I1265" s="136"/>
      <c r="J1265" s="135"/>
      <c r="K1265" s="289">
        <f t="shared" si="157"/>
        <v>983932</v>
      </c>
      <c r="L1265" s="289">
        <v>780000</v>
      </c>
      <c r="M1265" s="289">
        <f t="shared" si="158"/>
        <v>480000</v>
      </c>
      <c r="N1265" s="282">
        <f t="shared" si="159"/>
        <v>1.6</v>
      </c>
      <c r="O1265" s="289">
        <f t="shared" si="160"/>
        <v>-203932</v>
      </c>
      <c r="P1265" s="282">
        <f t="shared" si="161"/>
        <v>-0.20726229048348871</v>
      </c>
    </row>
    <row r="1266" spans="1:16">
      <c r="E1266" s="361"/>
      <c r="F1266" s="362"/>
      <c r="G1266" s="135"/>
      <c r="H1266" s="135"/>
      <c r="I1266" s="136"/>
      <c r="J1266" s="135"/>
      <c r="K1266" s="362">
        <f t="shared" si="157"/>
        <v>0</v>
      </c>
      <c r="L1266" s="362">
        <v>0</v>
      </c>
      <c r="M1266" s="362">
        <f t="shared" si="158"/>
        <v>0</v>
      </c>
      <c r="N1266" s="189"/>
      <c r="O1266" s="362">
        <f t="shared" si="160"/>
        <v>0</v>
      </c>
      <c r="P1266" s="189"/>
    </row>
    <row r="1267" spans="1:16">
      <c r="E1267" s="147"/>
      <c r="F1267" s="136"/>
      <c r="G1267" s="135"/>
      <c r="H1267" s="135"/>
      <c r="I1267" s="136"/>
      <c r="J1267" s="135"/>
      <c r="K1267" s="136">
        <f t="shared" si="157"/>
        <v>0</v>
      </c>
      <c r="L1267" s="136">
        <v>0</v>
      </c>
      <c r="M1267" s="136">
        <f t="shared" si="158"/>
        <v>0</v>
      </c>
      <c r="N1267" s="157"/>
      <c r="O1267" s="136">
        <f t="shared" si="160"/>
        <v>0</v>
      </c>
      <c r="P1267" s="157"/>
    </row>
    <row r="1268" spans="1:16" ht="15.6">
      <c r="E1268" s="259" t="s">
        <v>40</v>
      </c>
      <c r="F1268" s="260"/>
      <c r="G1268" s="135"/>
      <c r="H1268" s="135"/>
      <c r="I1268" s="136"/>
      <c r="J1268" s="135"/>
      <c r="K1268" s="260">
        <f t="shared" si="157"/>
        <v>0</v>
      </c>
      <c r="L1268" s="260">
        <v>0</v>
      </c>
      <c r="M1268" s="260">
        <f t="shared" si="158"/>
        <v>0</v>
      </c>
      <c r="N1268" s="275"/>
      <c r="O1268" s="260">
        <f t="shared" si="160"/>
        <v>0</v>
      </c>
      <c r="P1268" s="275"/>
    </row>
    <row r="1269" spans="1:16">
      <c r="E1269" s="261"/>
      <c r="F1269" s="127"/>
      <c r="G1269" s="135"/>
      <c r="H1269" s="135"/>
      <c r="I1269" s="136"/>
      <c r="J1269" s="135"/>
      <c r="K1269" s="127">
        <f t="shared" si="157"/>
        <v>0</v>
      </c>
      <c r="L1269" s="127">
        <v>0</v>
      </c>
      <c r="M1269" s="127">
        <f t="shared" si="158"/>
        <v>0</v>
      </c>
      <c r="N1269" s="160"/>
      <c r="O1269" s="127">
        <f t="shared" si="160"/>
        <v>0</v>
      </c>
      <c r="P1269" s="160"/>
    </row>
    <row r="1270" spans="1:16">
      <c r="E1270" s="261" t="s">
        <v>98</v>
      </c>
      <c r="F1270" s="127">
        <f>SUM(F1278,F1281,F1283,F1285,F1287,F1289,F1291)</f>
        <v>6211454</v>
      </c>
      <c r="G1270" s="135"/>
      <c r="H1270" s="127">
        <f>SUM(H1278,H1281,H1283,H1285,H1287,H1289,H1291)</f>
        <v>42473</v>
      </c>
      <c r="I1270" s="127">
        <f>SUM(I1278,I1281,I1283,I1285,I1287,I1289,I1291,I1294,I122,I1296)</f>
        <v>13016</v>
      </c>
      <c r="J1270" s="127">
        <f>SUM(J1278,J1281,J1283,J1285,J1287,J1289,J1291)</f>
        <v>359553</v>
      </c>
      <c r="K1270" s="127">
        <f t="shared" si="157"/>
        <v>6626496</v>
      </c>
      <c r="L1270" s="127">
        <f>SUM(L1278,L1281,L1283,L1285,L1287,L1289,L1291,L1296)</f>
        <v>6687191</v>
      </c>
      <c r="M1270" s="127">
        <f t="shared" si="158"/>
        <v>475737</v>
      </c>
      <c r="N1270" s="160">
        <f t="shared" si="159"/>
        <v>7.6590279828201255E-2</v>
      </c>
      <c r="O1270" s="127">
        <f t="shared" si="160"/>
        <v>60695</v>
      </c>
      <c r="P1270" s="160">
        <f t="shared" si="161"/>
        <v>9.1594411284636711E-3</v>
      </c>
    </row>
    <row r="1271" spans="1:16">
      <c r="E1271" s="262" t="s">
        <v>359</v>
      </c>
      <c r="F1271" s="128">
        <v>3000</v>
      </c>
      <c r="G1271" s="135"/>
      <c r="H1271" s="135"/>
      <c r="I1271" s="135"/>
      <c r="J1271" s="135"/>
      <c r="K1271" s="128">
        <f t="shared" si="157"/>
        <v>3000</v>
      </c>
      <c r="L1271" s="128">
        <v>7000</v>
      </c>
      <c r="M1271" s="128">
        <f t="shared" si="158"/>
        <v>4000</v>
      </c>
      <c r="N1271" s="91">
        <f t="shared" si="159"/>
        <v>1.3333333333333333</v>
      </c>
      <c r="O1271" s="128">
        <f t="shared" si="160"/>
        <v>4000</v>
      </c>
      <c r="P1271" s="91">
        <f t="shared" si="161"/>
        <v>1.3333333333333333</v>
      </c>
    </row>
    <row r="1272" spans="1:16">
      <c r="E1272" s="261" t="s">
        <v>44</v>
      </c>
      <c r="F1272" s="127">
        <f>SUM(F1273:F1275)</f>
        <v>6211454</v>
      </c>
      <c r="G1272" s="135"/>
      <c r="H1272" s="127">
        <f>SUM(H1273:H1275)</f>
        <v>42473</v>
      </c>
      <c r="I1272" s="127">
        <f>SUM(I1273:I1275)</f>
        <v>13016</v>
      </c>
      <c r="J1272" s="127">
        <f>SUM(J1273:J1275)</f>
        <v>359553</v>
      </c>
      <c r="K1272" s="127">
        <f t="shared" si="157"/>
        <v>6626496</v>
      </c>
      <c r="L1272" s="127">
        <f>SUM(L1273:L1275)</f>
        <v>6687191</v>
      </c>
      <c r="M1272" s="127">
        <f t="shared" si="158"/>
        <v>475737</v>
      </c>
      <c r="N1272" s="160">
        <f t="shared" si="159"/>
        <v>7.6590279828201255E-2</v>
      </c>
      <c r="O1272" s="127">
        <f t="shared" si="160"/>
        <v>60695</v>
      </c>
      <c r="P1272" s="160">
        <f t="shared" si="161"/>
        <v>9.1594411284636711E-3</v>
      </c>
    </row>
    <row r="1273" spans="1:16">
      <c r="E1273" s="262" t="s">
        <v>45</v>
      </c>
      <c r="F1273" s="128">
        <v>20000</v>
      </c>
      <c r="G1273" s="135"/>
      <c r="H1273" s="135"/>
      <c r="I1273" s="135"/>
      <c r="J1273" s="135"/>
      <c r="K1273" s="128">
        <f t="shared" si="157"/>
        <v>20000</v>
      </c>
      <c r="L1273" s="128">
        <v>23000</v>
      </c>
      <c r="M1273" s="128">
        <f t="shared" si="158"/>
        <v>3000</v>
      </c>
      <c r="N1273" s="91">
        <f t="shared" si="159"/>
        <v>0.15</v>
      </c>
      <c r="O1273" s="128">
        <f t="shared" si="160"/>
        <v>3000</v>
      </c>
      <c r="P1273" s="91">
        <f t="shared" si="161"/>
        <v>0.15</v>
      </c>
    </row>
    <row r="1274" spans="1:16">
      <c r="E1274" s="263" t="s">
        <v>0</v>
      </c>
      <c r="F1274" s="128"/>
      <c r="G1274" s="135"/>
      <c r="H1274" s="135"/>
      <c r="I1274" s="138">
        <v>35000</v>
      </c>
      <c r="J1274" s="135"/>
      <c r="K1274" s="128">
        <f t="shared" si="157"/>
        <v>35000</v>
      </c>
      <c r="L1274" s="128">
        <v>0</v>
      </c>
      <c r="M1274" s="128">
        <f t="shared" si="158"/>
        <v>0</v>
      </c>
      <c r="N1274" s="91"/>
      <c r="O1274" s="128">
        <f t="shared" si="160"/>
        <v>-35000</v>
      </c>
      <c r="P1274" s="91">
        <f t="shared" si="161"/>
        <v>-1</v>
      </c>
    </row>
    <row r="1275" spans="1:16">
      <c r="E1275" s="263" t="s">
        <v>46</v>
      </c>
      <c r="F1275" s="128">
        <f>F1270-F1273</f>
        <v>6191454</v>
      </c>
      <c r="G1275" s="135"/>
      <c r="H1275" s="128">
        <f>H1270-H1273</f>
        <v>42473</v>
      </c>
      <c r="I1275" s="128">
        <f>I1270-I1273-I1274</f>
        <v>-21984</v>
      </c>
      <c r="J1275" s="128">
        <f>J1270-J1273</f>
        <v>359553</v>
      </c>
      <c r="K1275" s="128">
        <f t="shared" si="157"/>
        <v>6571496</v>
      </c>
      <c r="L1275" s="128">
        <f>L1270-L1273</f>
        <v>6664191</v>
      </c>
      <c r="M1275" s="128">
        <f t="shared" si="158"/>
        <v>472737</v>
      </c>
      <c r="N1275" s="91">
        <f t="shared" si="159"/>
        <v>7.6353147419006909E-2</v>
      </c>
      <c r="O1275" s="128">
        <f t="shared" si="160"/>
        <v>92695</v>
      </c>
      <c r="P1275" s="91">
        <f t="shared" si="161"/>
        <v>1.4105616133677933E-2</v>
      </c>
    </row>
    <row r="1276" spans="1:16" s="10" customFormat="1">
      <c r="A1276" s="135"/>
      <c r="B1276" s="135"/>
      <c r="C1276" s="482"/>
      <c r="D1276" s="482"/>
      <c r="E1276" s="264" t="s">
        <v>718</v>
      </c>
      <c r="F1276" s="129">
        <f>F1279+F1292</f>
        <v>3441202</v>
      </c>
      <c r="G1276" s="135"/>
      <c r="H1276" s="129">
        <f>H1279+H1292</f>
        <v>-19459</v>
      </c>
      <c r="I1276" s="129">
        <f>I1279+I1292</f>
        <v>-51213</v>
      </c>
      <c r="J1276" s="129">
        <f>J1279+J1292</f>
        <v>268724</v>
      </c>
      <c r="K1276" s="129">
        <f t="shared" si="157"/>
        <v>3639254</v>
      </c>
      <c r="L1276" s="129">
        <f>L1279+L1292</f>
        <v>3760001</v>
      </c>
      <c r="M1276" s="129">
        <f t="shared" si="158"/>
        <v>318799</v>
      </c>
      <c r="N1276" s="265">
        <f t="shared" si="159"/>
        <v>9.264175715345975E-2</v>
      </c>
      <c r="O1276" s="129">
        <f t="shared" si="160"/>
        <v>120747</v>
      </c>
      <c r="P1276" s="265">
        <f t="shared" si="161"/>
        <v>3.3179052630017032E-2</v>
      </c>
    </row>
    <row r="1277" spans="1:16">
      <c r="E1277" s="147"/>
      <c r="F1277" s="136"/>
      <c r="G1277" s="135"/>
      <c r="H1277" s="136"/>
      <c r="I1277" s="136"/>
      <c r="J1277" s="135"/>
      <c r="K1277" s="136">
        <f t="shared" si="157"/>
        <v>0</v>
      </c>
      <c r="L1277" s="136">
        <v>0</v>
      </c>
      <c r="M1277" s="136">
        <f t="shared" si="158"/>
        <v>0</v>
      </c>
      <c r="N1277" s="157"/>
      <c r="O1277" s="136">
        <f t="shared" si="160"/>
        <v>0</v>
      </c>
      <c r="P1277" s="157"/>
    </row>
    <row r="1278" spans="1:16">
      <c r="A1278" s="77" t="s">
        <v>690</v>
      </c>
      <c r="B1278" s="77" t="s">
        <v>691</v>
      </c>
      <c r="C1278" s="537" t="s">
        <v>987</v>
      </c>
      <c r="D1278" s="537"/>
      <c r="E1278" s="290" t="s">
        <v>40</v>
      </c>
      <c r="F1278" s="291">
        <f>4731219+26200</f>
        <v>4757419</v>
      </c>
      <c r="G1278" s="135"/>
      <c r="H1278" s="136">
        <v>20245</v>
      </c>
      <c r="I1278" s="136">
        <v>-54477</v>
      </c>
      <c r="J1278" s="136">
        <v>305357</v>
      </c>
      <c r="K1278" s="291">
        <f t="shared" si="157"/>
        <v>5028544</v>
      </c>
      <c r="L1278" s="291">
        <v>5111181</v>
      </c>
      <c r="M1278" s="291">
        <f t="shared" si="158"/>
        <v>353762</v>
      </c>
      <c r="N1278" s="282">
        <f t="shared" si="159"/>
        <v>7.4360067927588466E-2</v>
      </c>
      <c r="O1278" s="291">
        <f t="shared" si="160"/>
        <v>82637</v>
      </c>
      <c r="P1278" s="282">
        <f t="shared" si="161"/>
        <v>1.6433583955912486E-2</v>
      </c>
    </row>
    <row r="1279" spans="1:16">
      <c r="E1279" s="130" t="s">
        <v>47</v>
      </c>
      <c r="F1279" s="124">
        <v>3019258</v>
      </c>
      <c r="G1279" s="135"/>
      <c r="H1279" s="272">
        <v>-19459</v>
      </c>
      <c r="I1279" s="272">
        <v>-50988</v>
      </c>
      <c r="J1279" s="272">
        <v>228219</v>
      </c>
      <c r="K1279" s="124">
        <f t="shared" si="157"/>
        <v>3177030</v>
      </c>
      <c r="L1279" s="124">
        <v>3272825</v>
      </c>
      <c r="M1279" s="124">
        <f t="shared" si="158"/>
        <v>253567</v>
      </c>
      <c r="N1279" s="270">
        <f t="shared" si="159"/>
        <v>8.3983217068564528E-2</v>
      </c>
      <c r="O1279" s="124">
        <f t="shared" si="160"/>
        <v>95795</v>
      </c>
      <c r="P1279" s="270">
        <f t="shared" si="161"/>
        <v>3.0152375016918316E-2</v>
      </c>
    </row>
    <row r="1280" spans="1:16">
      <c r="E1280" s="271"/>
      <c r="F1280" s="128"/>
      <c r="G1280" s="135"/>
      <c r="H1280" s="136"/>
      <c r="I1280" s="136"/>
      <c r="J1280" s="135"/>
      <c r="K1280" s="128">
        <f t="shared" si="157"/>
        <v>0</v>
      </c>
      <c r="L1280" s="128">
        <v>0</v>
      </c>
      <c r="M1280" s="128">
        <f t="shared" si="158"/>
        <v>0</v>
      </c>
      <c r="N1280" s="91"/>
      <c r="O1280" s="128">
        <f t="shared" si="160"/>
        <v>0</v>
      </c>
      <c r="P1280" s="91"/>
    </row>
    <row r="1281" spans="1:16">
      <c r="A1281" s="77" t="s">
        <v>690</v>
      </c>
      <c r="B1281" s="77" t="s">
        <v>691</v>
      </c>
      <c r="C1281" s="537" t="s">
        <v>987</v>
      </c>
      <c r="D1281" s="537"/>
      <c r="E1281" s="290" t="s">
        <v>285</v>
      </c>
      <c r="F1281" s="291">
        <v>282485</v>
      </c>
      <c r="G1281" s="135"/>
      <c r="H1281" s="136">
        <v>7062</v>
      </c>
      <c r="I1281" s="136"/>
      <c r="J1281" s="135"/>
      <c r="K1281" s="291">
        <f t="shared" si="157"/>
        <v>289547</v>
      </c>
      <c r="L1281" s="291">
        <v>296786</v>
      </c>
      <c r="M1281" s="291">
        <f t="shared" si="158"/>
        <v>14301</v>
      </c>
      <c r="N1281" s="282">
        <f t="shared" si="159"/>
        <v>5.0625696939660514E-2</v>
      </c>
      <c r="O1281" s="291">
        <f t="shared" si="160"/>
        <v>7239</v>
      </c>
      <c r="P1281" s="282">
        <f t="shared" si="161"/>
        <v>2.5001122442988532E-2</v>
      </c>
    </row>
    <row r="1282" spans="1:16">
      <c r="E1282" s="290"/>
      <c r="F1282" s="291"/>
      <c r="G1282" s="135"/>
      <c r="H1282" s="136"/>
      <c r="I1282" s="136"/>
      <c r="J1282" s="135"/>
      <c r="K1282" s="291">
        <f t="shared" si="157"/>
        <v>0</v>
      </c>
      <c r="L1282" s="291">
        <v>0</v>
      </c>
      <c r="M1282" s="291">
        <f t="shared" si="158"/>
        <v>0</v>
      </c>
      <c r="N1282" s="282"/>
      <c r="O1282" s="291">
        <f t="shared" si="160"/>
        <v>0</v>
      </c>
      <c r="P1282" s="282"/>
    </row>
    <row r="1283" spans="1:16">
      <c r="A1283" s="77" t="s">
        <v>690</v>
      </c>
      <c r="B1283" s="77" t="s">
        <v>691</v>
      </c>
      <c r="C1283" s="537" t="s">
        <v>987</v>
      </c>
      <c r="D1283" s="537"/>
      <c r="E1283" s="290" t="s">
        <v>433</v>
      </c>
      <c r="F1283" s="291">
        <v>190000</v>
      </c>
      <c r="G1283" s="135"/>
      <c r="H1283" s="136">
        <v>15166</v>
      </c>
      <c r="I1283" s="136"/>
      <c r="J1283" s="135"/>
      <c r="K1283" s="291">
        <f t="shared" si="157"/>
        <v>205166</v>
      </c>
      <c r="L1283" s="291">
        <v>262000</v>
      </c>
      <c r="M1283" s="291">
        <f t="shared" si="158"/>
        <v>72000</v>
      </c>
      <c r="N1283" s="282">
        <f t="shared" si="159"/>
        <v>0.37894736842105264</v>
      </c>
      <c r="O1283" s="291">
        <f t="shared" si="160"/>
        <v>56834</v>
      </c>
      <c r="P1283" s="282">
        <f t="shared" si="161"/>
        <v>0.2770147100396752</v>
      </c>
    </row>
    <row r="1284" spans="1:16">
      <c r="E1284" s="285"/>
      <c r="F1284" s="286"/>
      <c r="G1284" s="135"/>
      <c r="H1284" s="136"/>
      <c r="I1284" s="136"/>
      <c r="J1284" s="135"/>
      <c r="K1284" s="286">
        <f t="shared" si="157"/>
        <v>0</v>
      </c>
      <c r="L1284" s="286">
        <v>0</v>
      </c>
      <c r="M1284" s="286">
        <f t="shared" si="158"/>
        <v>0</v>
      </c>
      <c r="N1284" s="287"/>
      <c r="O1284" s="286">
        <f t="shared" si="160"/>
        <v>0</v>
      </c>
      <c r="P1284" s="287"/>
    </row>
    <row r="1285" spans="1:16">
      <c r="A1285" s="77" t="s">
        <v>690</v>
      </c>
      <c r="B1285" s="77" t="s">
        <v>691</v>
      </c>
      <c r="C1285" s="537" t="s">
        <v>987</v>
      </c>
      <c r="D1285" s="537"/>
      <c r="E1285" s="102" t="s">
        <v>1191</v>
      </c>
      <c r="F1285" s="291">
        <v>56300</v>
      </c>
      <c r="G1285" s="135"/>
      <c r="H1285" s="136"/>
      <c r="I1285" s="136"/>
      <c r="J1285" s="135"/>
      <c r="K1285" s="291">
        <f t="shared" si="157"/>
        <v>56300</v>
      </c>
      <c r="L1285" s="291">
        <v>52425</v>
      </c>
      <c r="M1285" s="291">
        <f t="shared" si="158"/>
        <v>-3875</v>
      </c>
      <c r="N1285" s="282">
        <f t="shared" si="159"/>
        <v>-6.8827708703374776E-2</v>
      </c>
      <c r="O1285" s="291">
        <f t="shared" si="160"/>
        <v>-3875</v>
      </c>
      <c r="P1285" s="282">
        <f t="shared" si="161"/>
        <v>-6.8827708703374776E-2</v>
      </c>
    </row>
    <row r="1286" spans="1:16">
      <c r="E1286" s="130"/>
      <c r="F1286" s="124"/>
      <c r="G1286" s="135"/>
      <c r="H1286" s="136"/>
      <c r="I1286" s="136"/>
      <c r="J1286" s="135"/>
      <c r="K1286" s="124">
        <f t="shared" si="157"/>
        <v>0</v>
      </c>
      <c r="L1286" s="124">
        <v>0</v>
      </c>
      <c r="M1286" s="124">
        <f t="shared" si="158"/>
        <v>0</v>
      </c>
      <c r="N1286" s="270"/>
      <c r="O1286" s="124">
        <f t="shared" si="160"/>
        <v>0</v>
      </c>
      <c r="P1286" s="270"/>
    </row>
    <row r="1287" spans="1:16">
      <c r="A1287" s="77" t="s">
        <v>690</v>
      </c>
      <c r="B1287" s="77" t="s">
        <v>691</v>
      </c>
      <c r="C1287" s="537" t="s">
        <v>987</v>
      </c>
      <c r="D1287" s="537"/>
      <c r="E1287" s="267" t="s">
        <v>239</v>
      </c>
      <c r="F1287" s="268">
        <v>57000</v>
      </c>
      <c r="G1287" s="135"/>
      <c r="H1287" s="136"/>
      <c r="I1287" s="136"/>
      <c r="J1287" s="135"/>
      <c r="K1287" s="268">
        <f t="shared" si="157"/>
        <v>57000</v>
      </c>
      <c r="L1287" s="268">
        <v>51300</v>
      </c>
      <c r="M1287" s="268">
        <f t="shared" si="158"/>
        <v>-5700</v>
      </c>
      <c r="N1287" s="157">
        <f t="shared" si="159"/>
        <v>-0.1</v>
      </c>
      <c r="O1287" s="268">
        <f t="shared" si="160"/>
        <v>-5700</v>
      </c>
      <c r="P1287" s="157">
        <f t="shared" si="161"/>
        <v>-0.1</v>
      </c>
    </row>
    <row r="1288" spans="1:16">
      <c r="E1288" s="130"/>
      <c r="F1288" s="124"/>
      <c r="G1288" s="135"/>
      <c r="H1288" s="136"/>
      <c r="I1288" s="136"/>
      <c r="J1288" s="135"/>
      <c r="K1288" s="124">
        <f t="shared" ref="K1288:K1351" si="162">F1288+G1288+H1288+J1288+I1288</f>
        <v>0</v>
      </c>
      <c r="L1288" s="124">
        <v>0</v>
      </c>
      <c r="M1288" s="124">
        <f t="shared" ref="M1288:M1351" si="163">L1288-F1288</f>
        <v>0</v>
      </c>
      <c r="N1288" s="270"/>
      <c r="O1288" s="124">
        <f t="shared" ref="O1288:O1351" si="164">L1288-K1288</f>
        <v>0</v>
      </c>
      <c r="P1288" s="270"/>
    </row>
    <row r="1289" spans="1:16">
      <c r="A1289" s="77" t="s">
        <v>690</v>
      </c>
      <c r="B1289" s="77" t="s">
        <v>691</v>
      </c>
      <c r="C1289" s="537" t="s">
        <v>987</v>
      </c>
      <c r="D1289" s="537"/>
      <c r="E1289" s="104" t="s">
        <v>399</v>
      </c>
      <c r="F1289" s="136">
        <v>38750</v>
      </c>
      <c r="G1289" s="135"/>
      <c r="H1289" s="136"/>
      <c r="I1289" s="136"/>
      <c r="J1289" s="135"/>
      <c r="K1289" s="136">
        <f t="shared" si="162"/>
        <v>38750</v>
      </c>
      <c r="L1289" s="136">
        <v>19750</v>
      </c>
      <c r="M1289" s="136">
        <f t="shared" si="163"/>
        <v>-19000</v>
      </c>
      <c r="N1289" s="157">
        <f t="shared" ref="N1289:N1350" si="165">M1289/F1289</f>
        <v>-0.49032258064516127</v>
      </c>
      <c r="O1289" s="136">
        <f t="shared" si="164"/>
        <v>-19000</v>
      </c>
      <c r="P1289" s="157">
        <f t="shared" ref="P1289:P1350" si="166">O1289/K1289</f>
        <v>-0.49032258064516127</v>
      </c>
    </row>
    <row r="1290" spans="1:16">
      <c r="E1290" s="437"/>
      <c r="F1290" s="438"/>
      <c r="G1290" s="135"/>
      <c r="H1290" s="136"/>
      <c r="I1290" s="136"/>
      <c r="J1290" s="135"/>
      <c r="K1290" s="438">
        <f t="shared" si="162"/>
        <v>0</v>
      </c>
      <c r="L1290" s="438">
        <v>0</v>
      </c>
      <c r="M1290" s="438">
        <f t="shared" si="163"/>
        <v>0</v>
      </c>
      <c r="N1290" s="439"/>
      <c r="O1290" s="438">
        <f t="shared" si="164"/>
        <v>0</v>
      </c>
      <c r="P1290" s="439"/>
    </row>
    <row r="1291" spans="1:16">
      <c r="A1291" s="77" t="s">
        <v>672</v>
      </c>
      <c r="B1291" s="77" t="s">
        <v>691</v>
      </c>
      <c r="C1291" s="537" t="s">
        <v>1001</v>
      </c>
      <c r="D1291" s="537"/>
      <c r="E1291" s="440" t="s">
        <v>936</v>
      </c>
      <c r="F1291" s="441">
        <v>829500</v>
      </c>
      <c r="G1291" s="135"/>
      <c r="H1291" s="136"/>
      <c r="I1291" s="136">
        <v>-39205</v>
      </c>
      <c r="J1291" s="136">
        <v>54196</v>
      </c>
      <c r="K1291" s="441">
        <f t="shared" si="162"/>
        <v>844491</v>
      </c>
      <c r="L1291" s="441">
        <v>867149</v>
      </c>
      <c r="M1291" s="441">
        <f t="shared" si="163"/>
        <v>37649</v>
      </c>
      <c r="N1291" s="442">
        <f t="shared" si="165"/>
        <v>4.5387582881253767E-2</v>
      </c>
      <c r="O1291" s="441">
        <f t="shared" si="164"/>
        <v>22658</v>
      </c>
      <c r="P1291" s="442">
        <f t="shared" si="166"/>
        <v>2.6830362904992473E-2</v>
      </c>
    </row>
    <row r="1292" spans="1:16">
      <c r="E1292" s="130" t="s">
        <v>47</v>
      </c>
      <c r="F1292" s="124">
        <v>421944</v>
      </c>
      <c r="G1292" s="135"/>
      <c r="H1292" s="136"/>
      <c r="I1292" s="272">
        <v>-225</v>
      </c>
      <c r="J1292" s="272">
        <v>40505</v>
      </c>
      <c r="K1292" s="124">
        <f t="shared" si="162"/>
        <v>462224</v>
      </c>
      <c r="L1292" s="124">
        <v>487176</v>
      </c>
      <c r="M1292" s="124">
        <f t="shared" si="163"/>
        <v>65232</v>
      </c>
      <c r="N1292" s="270">
        <f t="shared" si="165"/>
        <v>0.15459871452135829</v>
      </c>
      <c r="O1292" s="124">
        <f t="shared" si="164"/>
        <v>24952</v>
      </c>
      <c r="P1292" s="270">
        <f t="shared" si="166"/>
        <v>5.3982484682751221E-2</v>
      </c>
    </row>
    <row r="1293" spans="1:16">
      <c r="E1293" s="558"/>
      <c r="F1293" s="124"/>
      <c r="G1293" s="135"/>
      <c r="H1293" s="136"/>
      <c r="I1293" s="136"/>
      <c r="J1293" s="272"/>
      <c r="K1293" s="124">
        <f t="shared" si="162"/>
        <v>0</v>
      </c>
      <c r="L1293" s="124">
        <v>0</v>
      </c>
      <c r="M1293" s="124">
        <f t="shared" si="163"/>
        <v>0</v>
      </c>
      <c r="N1293" s="270"/>
      <c r="O1293" s="124">
        <f t="shared" si="164"/>
        <v>0</v>
      </c>
      <c r="P1293" s="270"/>
    </row>
    <row r="1294" spans="1:16">
      <c r="A1294" s="77" t="s">
        <v>690</v>
      </c>
      <c r="B1294" s="77" t="s">
        <v>691</v>
      </c>
      <c r="E1294" s="103" t="s">
        <v>1157</v>
      </c>
      <c r="F1294" s="124"/>
      <c r="G1294" s="135"/>
      <c r="H1294" s="136"/>
      <c r="I1294" s="136">
        <v>35000</v>
      </c>
      <c r="J1294" s="272"/>
      <c r="K1294" s="441">
        <f t="shared" si="162"/>
        <v>35000</v>
      </c>
      <c r="L1294" s="124">
        <v>0</v>
      </c>
      <c r="M1294" s="124">
        <f t="shared" si="163"/>
        <v>0</v>
      </c>
      <c r="N1294" s="270"/>
      <c r="O1294" s="124">
        <f t="shared" si="164"/>
        <v>-35000</v>
      </c>
      <c r="P1294" s="270">
        <f t="shared" si="166"/>
        <v>-1</v>
      </c>
    </row>
    <row r="1295" spans="1:16">
      <c r="E1295" s="558"/>
      <c r="F1295" s="124"/>
      <c r="G1295" s="135"/>
      <c r="H1295" s="136"/>
      <c r="I1295" s="136"/>
      <c r="J1295" s="272"/>
      <c r="K1295" s="124">
        <f t="shared" si="162"/>
        <v>0</v>
      </c>
      <c r="L1295" s="124">
        <v>0</v>
      </c>
      <c r="M1295" s="124">
        <f t="shared" si="163"/>
        <v>0</v>
      </c>
      <c r="N1295" s="270"/>
      <c r="O1295" s="124">
        <f t="shared" si="164"/>
        <v>0</v>
      </c>
      <c r="P1295" s="270"/>
    </row>
    <row r="1296" spans="1:16">
      <c r="A1296" s="77" t="s">
        <v>690</v>
      </c>
      <c r="B1296" s="77" t="s">
        <v>691</v>
      </c>
      <c r="C1296" s="537"/>
      <c r="D1296" s="537"/>
      <c r="E1296" s="559" t="s">
        <v>1080</v>
      </c>
      <c r="F1296" s="438"/>
      <c r="G1296" s="135"/>
      <c r="H1296" s="135"/>
      <c r="I1296" s="136">
        <v>71698</v>
      </c>
      <c r="J1296" s="135"/>
      <c r="K1296" s="441">
        <f t="shared" si="162"/>
        <v>71698</v>
      </c>
      <c r="L1296" s="441">
        <v>26600</v>
      </c>
      <c r="M1296" s="441">
        <f t="shared" si="163"/>
        <v>26600</v>
      </c>
      <c r="N1296" s="442"/>
      <c r="O1296" s="441">
        <f t="shared" si="164"/>
        <v>-45098</v>
      </c>
      <c r="P1296" s="442">
        <f t="shared" si="166"/>
        <v>-0.62899941420960137</v>
      </c>
    </row>
    <row r="1297" spans="1:16">
      <c r="E1297" s="559"/>
      <c r="F1297" s="438"/>
      <c r="G1297" s="135"/>
      <c r="H1297" s="135"/>
      <c r="I1297" s="136"/>
      <c r="J1297" s="135"/>
      <c r="K1297" s="438">
        <f t="shared" si="162"/>
        <v>0</v>
      </c>
      <c r="L1297" s="438">
        <v>0</v>
      </c>
      <c r="M1297" s="438">
        <f t="shared" si="163"/>
        <v>0</v>
      </c>
      <c r="N1297" s="439"/>
      <c r="O1297" s="438">
        <f t="shared" si="164"/>
        <v>0</v>
      </c>
      <c r="P1297" s="439"/>
    </row>
    <row r="1298" spans="1:16">
      <c r="E1298" s="437"/>
      <c r="F1298" s="438"/>
      <c r="G1298" s="135"/>
      <c r="H1298" s="135"/>
      <c r="I1298" s="136"/>
      <c r="J1298" s="135"/>
      <c r="K1298" s="438">
        <f t="shared" si="162"/>
        <v>0</v>
      </c>
      <c r="L1298" s="438">
        <v>0</v>
      </c>
      <c r="M1298" s="438">
        <f t="shared" si="163"/>
        <v>0</v>
      </c>
      <c r="N1298" s="439"/>
      <c r="O1298" s="438">
        <f t="shared" si="164"/>
        <v>0</v>
      </c>
      <c r="P1298" s="439"/>
    </row>
    <row r="1299" spans="1:16" ht="15.6">
      <c r="E1299" s="259" t="s">
        <v>166</v>
      </c>
      <c r="F1299" s="260"/>
      <c r="G1299" s="135"/>
      <c r="H1299" s="135"/>
      <c r="I1299" s="136"/>
      <c r="J1299" s="135"/>
      <c r="K1299" s="260">
        <f t="shared" si="162"/>
        <v>0</v>
      </c>
      <c r="L1299" s="260">
        <v>0</v>
      </c>
      <c r="M1299" s="260">
        <f t="shared" si="163"/>
        <v>0</v>
      </c>
      <c r="N1299" s="275"/>
      <c r="O1299" s="260">
        <f t="shared" si="164"/>
        <v>0</v>
      </c>
      <c r="P1299" s="275"/>
    </row>
    <row r="1300" spans="1:16">
      <c r="E1300" s="147"/>
      <c r="F1300" s="136"/>
      <c r="G1300" s="135"/>
      <c r="H1300" s="135"/>
      <c r="I1300" s="135"/>
      <c r="J1300" s="135"/>
      <c r="K1300" s="136">
        <f t="shared" si="162"/>
        <v>0</v>
      </c>
      <c r="L1300" s="136">
        <v>0</v>
      </c>
      <c r="M1300" s="136">
        <f t="shared" si="163"/>
        <v>0</v>
      </c>
      <c r="N1300" s="157"/>
      <c r="O1300" s="136">
        <f t="shared" si="164"/>
        <v>0</v>
      </c>
      <c r="P1300" s="157"/>
    </row>
    <row r="1301" spans="1:16">
      <c r="E1301" s="261" t="s">
        <v>98</v>
      </c>
      <c r="F1301" s="127">
        <f>F1308+F1312+F1321+F1331+F1335</f>
        <v>2687764</v>
      </c>
      <c r="G1301" s="135"/>
      <c r="H1301" s="127">
        <f>H1308+H1312+H1321+H1331+H1335</f>
        <v>41818</v>
      </c>
      <c r="I1301" s="127">
        <f>I1308+I1312+I1321+I1331+I1335</f>
        <v>62795</v>
      </c>
      <c r="J1301" s="127">
        <f>J1308+J1312+J1321+J1331+J1335</f>
        <v>192610</v>
      </c>
      <c r="K1301" s="127">
        <f t="shared" si="162"/>
        <v>2984987</v>
      </c>
      <c r="L1301" s="127">
        <f>L1303</f>
        <v>3095165</v>
      </c>
      <c r="M1301" s="127">
        <f t="shared" si="163"/>
        <v>407401</v>
      </c>
      <c r="N1301" s="160">
        <f t="shared" si="165"/>
        <v>0.15157618005152237</v>
      </c>
      <c r="O1301" s="127">
        <f t="shared" si="164"/>
        <v>110178</v>
      </c>
      <c r="P1301" s="160">
        <f t="shared" si="166"/>
        <v>3.6910713513995205E-2</v>
      </c>
    </row>
    <row r="1302" spans="1:16">
      <c r="E1302" s="262" t="s">
        <v>359</v>
      </c>
      <c r="F1302" s="128">
        <v>250000</v>
      </c>
      <c r="G1302" s="135"/>
      <c r="H1302" s="135"/>
      <c r="I1302" s="138">
        <v>24000</v>
      </c>
      <c r="J1302" s="135"/>
      <c r="K1302" s="128">
        <f t="shared" si="162"/>
        <v>274000</v>
      </c>
      <c r="L1302" s="128">
        <v>282000</v>
      </c>
      <c r="M1302" s="128">
        <f t="shared" si="163"/>
        <v>32000</v>
      </c>
      <c r="N1302" s="91">
        <f t="shared" si="165"/>
        <v>0.128</v>
      </c>
      <c r="O1302" s="128">
        <f t="shared" si="164"/>
        <v>8000</v>
      </c>
      <c r="P1302" s="91">
        <f t="shared" si="166"/>
        <v>2.9197080291970802E-2</v>
      </c>
    </row>
    <row r="1303" spans="1:16">
      <c r="E1303" s="261" t="s">
        <v>44</v>
      </c>
      <c r="F1303" s="127">
        <f>F1304+F1305</f>
        <v>2687764</v>
      </c>
      <c r="G1303" s="135"/>
      <c r="H1303" s="127">
        <f>H1304+H1305</f>
        <v>41818</v>
      </c>
      <c r="I1303" s="127">
        <f>I1304+I1305</f>
        <v>62795</v>
      </c>
      <c r="J1303" s="127">
        <f>J1304+J1305</f>
        <v>192610</v>
      </c>
      <c r="K1303" s="127">
        <f t="shared" si="162"/>
        <v>2984987</v>
      </c>
      <c r="L1303" s="127">
        <f>L1308+L1312+L1321+L1331+L1335</f>
        <v>3095165</v>
      </c>
      <c r="M1303" s="127">
        <f t="shared" si="163"/>
        <v>407401</v>
      </c>
      <c r="N1303" s="160">
        <f t="shared" si="165"/>
        <v>0.15157618005152237</v>
      </c>
      <c r="O1303" s="127">
        <f t="shared" si="164"/>
        <v>110178</v>
      </c>
      <c r="P1303" s="160">
        <f t="shared" si="166"/>
        <v>3.6910713513995205E-2</v>
      </c>
    </row>
    <row r="1304" spans="1:16">
      <c r="E1304" s="262" t="s">
        <v>45</v>
      </c>
      <c r="F1304" s="128">
        <v>483330</v>
      </c>
      <c r="G1304" s="135"/>
      <c r="H1304" s="138">
        <v>16160</v>
      </c>
      <c r="I1304" s="138">
        <v>13800</v>
      </c>
      <c r="J1304" s="135"/>
      <c r="K1304" s="128">
        <f t="shared" si="162"/>
        <v>513290</v>
      </c>
      <c r="L1304" s="128">
        <v>579130</v>
      </c>
      <c r="M1304" s="128">
        <f t="shared" si="163"/>
        <v>95800</v>
      </c>
      <c r="N1304" s="91">
        <f t="shared" si="165"/>
        <v>0.19820826350526555</v>
      </c>
      <c r="O1304" s="128">
        <f t="shared" si="164"/>
        <v>65840</v>
      </c>
      <c r="P1304" s="91">
        <f t="shared" si="166"/>
        <v>0.12827056829472619</v>
      </c>
    </row>
    <row r="1305" spans="1:16">
      <c r="E1305" s="263" t="s">
        <v>46</v>
      </c>
      <c r="F1305" s="128">
        <f>F1301-F1304</f>
        <v>2204434</v>
      </c>
      <c r="G1305" s="135"/>
      <c r="H1305" s="128">
        <f>H1301-H1304</f>
        <v>25658</v>
      </c>
      <c r="I1305" s="128">
        <f>I1301-I1304</f>
        <v>48995</v>
      </c>
      <c r="J1305" s="128">
        <f>J1301-J1304</f>
        <v>192610</v>
      </c>
      <c r="K1305" s="128">
        <f t="shared" si="162"/>
        <v>2471697</v>
      </c>
      <c r="L1305" s="128">
        <f>L1303-L1304</f>
        <v>2516035</v>
      </c>
      <c r="M1305" s="128">
        <f t="shared" si="163"/>
        <v>311601</v>
      </c>
      <c r="N1305" s="91">
        <f t="shared" si="165"/>
        <v>0.14135192979240929</v>
      </c>
      <c r="O1305" s="128">
        <f t="shared" si="164"/>
        <v>44338</v>
      </c>
      <c r="P1305" s="91">
        <f t="shared" si="166"/>
        <v>1.7938282888234278E-2</v>
      </c>
    </row>
    <row r="1306" spans="1:16" s="10" customFormat="1">
      <c r="A1306" s="135"/>
      <c r="B1306" s="135"/>
      <c r="C1306" s="482"/>
      <c r="D1306" s="482"/>
      <c r="E1306" s="264" t="s">
        <v>718</v>
      </c>
      <c r="F1306" s="129">
        <f>F1310+F1316+F1325+F1329+F1333+F1338</f>
        <v>1266669</v>
      </c>
      <c r="G1306" s="135"/>
      <c r="H1306" s="129">
        <f>H1310+H1316+H1325+H1329+H1333+H1338</f>
        <v>-6384</v>
      </c>
      <c r="I1306" s="129">
        <f>I1310+I1316+I1325+I1329+I1333+I1338</f>
        <v>-752</v>
      </c>
      <c r="J1306" s="129">
        <f>J1310+J1316+J1325+J1329+J1333+J1338</f>
        <v>143953</v>
      </c>
      <c r="K1306" s="129">
        <f t="shared" si="162"/>
        <v>1403486</v>
      </c>
      <c r="L1306" s="129">
        <f>L1310+L1316+L1325+L1329+L1333+L1338</f>
        <v>1490124</v>
      </c>
      <c r="M1306" s="129">
        <f t="shared" si="163"/>
        <v>223455</v>
      </c>
      <c r="N1306" s="265">
        <f t="shared" si="165"/>
        <v>0.17641151713667896</v>
      </c>
      <c r="O1306" s="129">
        <f t="shared" si="164"/>
        <v>86638</v>
      </c>
      <c r="P1306" s="265">
        <f t="shared" si="166"/>
        <v>6.1730576578604986E-2</v>
      </c>
    </row>
    <row r="1307" spans="1:16">
      <c r="E1307" s="263"/>
      <c r="F1307" s="128"/>
      <c r="G1307" s="135"/>
      <c r="H1307" s="135"/>
      <c r="I1307" s="136"/>
      <c r="J1307" s="135"/>
      <c r="K1307" s="128">
        <f t="shared" si="162"/>
        <v>0</v>
      </c>
      <c r="L1307" s="128">
        <v>0</v>
      </c>
      <c r="M1307" s="128">
        <f t="shared" si="163"/>
        <v>0</v>
      </c>
      <c r="N1307" s="91"/>
      <c r="O1307" s="128">
        <f t="shared" si="164"/>
        <v>0</v>
      </c>
      <c r="P1307" s="91"/>
    </row>
    <row r="1308" spans="1:16" ht="13.8">
      <c r="A1308" s="77" t="s">
        <v>672</v>
      </c>
      <c r="B1308" s="77" t="s">
        <v>166</v>
      </c>
      <c r="E1308" s="443" t="s">
        <v>103</v>
      </c>
      <c r="F1308" s="444">
        <f>F1309</f>
        <v>95320</v>
      </c>
      <c r="G1308" s="135"/>
      <c r="H1308" s="135"/>
      <c r="I1308" s="136"/>
      <c r="J1308" s="444">
        <f>J1309</f>
        <v>4367</v>
      </c>
      <c r="K1308" s="444">
        <f t="shared" si="162"/>
        <v>99687</v>
      </c>
      <c r="L1308" s="444">
        <f>L1309</f>
        <v>98507</v>
      </c>
      <c r="M1308" s="444">
        <f t="shared" si="163"/>
        <v>3187</v>
      </c>
      <c r="N1308" s="313">
        <f t="shared" si="165"/>
        <v>3.3434746118338229E-2</v>
      </c>
      <c r="O1308" s="444">
        <f t="shared" si="164"/>
        <v>-1180</v>
      </c>
      <c r="P1308" s="313">
        <f t="shared" si="166"/>
        <v>-1.1837049966394815E-2</v>
      </c>
    </row>
    <row r="1309" spans="1:16">
      <c r="C1309" s="537"/>
      <c r="D1309" s="537"/>
      <c r="E1309" s="339" t="s">
        <v>541</v>
      </c>
      <c r="F1309" s="123">
        <v>95320</v>
      </c>
      <c r="G1309" s="135"/>
      <c r="H1309" s="135"/>
      <c r="I1309" s="136"/>
      <c r="J1309" s="123">
        <v>4367</v>
      </c>
      <c r="K1309" s="123">
        <f t="shared" si="162"/>
        <v>99687</v>
      </c>
      <c r="L1309" s="123">
        <v>98507</v>
      </c>
      <c r="M1309" s="123">
        <f t="shared" si="163"/>
        <v>3187</v>
      </c>
      <c r="N1309" s="160">
        <f t="shared" si="165"/>
        <v>3.3434746118338229E-2</v>
      </c>
      <c r="O1309" s="123">
        <f t="shared" si="164"/>
        <v>-1180</v>
      </c>
      <c r="P1309" s="160">
        <f t="shared" si="166"/>
        <v>-1.1837049966394815E-2</v>
      </c>
    </row>
    <row r="1310" spans="1:16">
      <c r="E1310" s="132" t="s">
        <v>47</v>
      </c>
      <c r="F1310" s="124">
        <v>46050</v>
      </c>
      <c r="G1310" s="135"/>
      <c r="H1310" s="135"/>
      <c r="I1310" s="136"/>
      <c r="J1310" s="124">
        <v>3264</v>
      </c>
      <c r="K1310" s="124">
        <f t="shared" si="162"/>
        <v>49314</v>
      </c>
      <c r="L1310" s="124">
        <v>50151</v>
      </c>
      <c r="M1310" s="124">
        <f t="shared" si="163"/>
        <v>4101</v>
      </c>
      <c r="N1310" s="270">
        <f t="shared" si="165"/>
        <v>8.9055374592833872E-2</v>
      </c>
      <c r="O1310" s="124">
        <f t="shared" si="164"/>
        <v>837</v>
      </c>
      <c r="P1310" s="270">
        <f t="shared" si="166"/>
        <v>1.6972867745467819E-2</v>
      </c>
    </row>
    <row r="1311" spans="1:16">
      <c r="E1311" s="445"/>
      <c r="F1311" s="436"/>
      <c r="G1311" s="135"/>
      <c r="H1311" s="135"/>
      <c r="I1311" s="136"/>
      <c r="J1311" s="135"/>
      <c r="K1311" s="436">
        <f t="shared" si="162"/>
        <v>0</v>
      </c>
      <c r="L1311" s="436">
        <v>0</v>
      </c>
      <c r="M1311" s="436">
        <f t="shared" si="163"/>
        <v>0</v>
      </c>
      <c r="N1311" s="284"/>
      <c r="O1311" s="436">
        <f t="shared" si="164"/>
        <v>0</v>
      </c>
      <c r="P1311" s="284"/>
    </row>
    <row r="1312" spans="1:16" ht="13.8">
      <c r="A1312" s="77" t="s">
        <v>674</v>
      </c>
      <c r="B1312" s="77" t="s">
        <v>166</v>
      </c>
      <c r="E1312" s="443" t="s">
        <v>105</v>
      </c>
      <c r="F1312" s="444">
        <f>F1313</f>
        <v>118710</v>
      </c>
      <c r="G1312" s="135"/>
      <c r="H1312" s="135"/>
      <c r="I1312" s="444">
        <f>I1313</f>
        <v>5000</v>
      </c>
      <c r="J1312" s="444">
        <f>J1313</f>
        <v>8708</v>
      </c>
      <c r="K1312" s="444">
        <f t="shared" si="162"/>
        <v>132418</v>
      </c>
      <c r="L1312" s="444">
        <f>L1313</f>
        <v>136990</v>
      </c>
      <c r="M1312" s="444">
        <f t="shared" si="163"/>
        <v>18280</v>
      </c>
      <c r="N1312" s="313">
        <f t="shared" si="165"/>
        <v>0.15398871198719569</v>
      </c>
      <c r="O1312" s="444">
        <f t="shared" si="164"/>
        <v>4572</v>
      </c>
      <c r="P1312" s="313">
        <f t="shared" si="166"/>
        <v>3.4527028047546406E-2</v>
      </c>
    </row>
    <row r="1313" spans="1:16">
      <c r="C1313" s="537"/>
      <c r="D1313" s="537"/>
      <c r="E1313" s="339" t="s">
        <v>106</v>
      </c>
      <c r="F1313" s="123">
        <f>F1315</f>
        <v>118710</v>
      </c>
      <c r="G1313" s="135"/>
      <c r="H1313" s="135"/>
      <c r="I1313" s="123">
        <f>I1315</f>
        <v>5000</v>
      </c>
      <c r="J1313" s="123">
        <f>J1315</f>
        <v>8708</v>
      </c>
      <c r="K1313" s="123">
        <f t="shared" si="162"/>
        <v>132418</v>
      </c>
      <c r="L1313" s="123">
        <f>L1315</f>
        <v>136990</v>
      </c>
      <c r="M1313" s="123">
        <f t="shared" si="163"/>
        <v>18280</v>
      </c>
      <c r="N1313" s="160">
        <f t="shared" si="165"/>
        <v>0.15398871198719569</v>
      </c>
      <c r="O1313" s="123">
        <f t="shared" si="164"/>
        <v>4572</v>
      </c>
      <c r="P1313" s="160">
        <f t="shared" si="166"/>
        <v>3.4527028047546406E-2</v>
      </c>
    </row>
    <row r="1314" spans="1:16">
      <c r="E1314" s="425" t="s">
        <v>101</v>
      </c>
      <c r="F1314" s="395"/>
      <c r="G1314" s="135"/>
      <c r="H1314" s="135"/>
      <c r="I1314" s="136"/>
      <c r="J1314" s="395"/>
      <c r="K1314" s="395">
        <f t="shared" si="162"/>
        <v>0</v>
      </c>
      <c r="L1314" s="395">
        <v>0</v>
      </c>
      <c r="M1314" s="395">
        <f t="shared" si="163"/>
        <v>0</v>
      </c>
      <c r="N1314" s="370"/>
      <c r="O1314" s="395">
        <f t="shared" si="164"/>
        <v>0</v>
      </c>
      <c r="P1314" s="370"/>
    </row>
    <row r="1315" spans="1:16">
      <c r="E1315" s="37" t="s">
        <v>542</v>
      </c>
      <c r="F1315" s="47">
        <v>118710</v>
      </c>
      <c r="G1315" s="135"/>
      <c r="H1315" s="135"/>
      <c r="I1315" s="136">
        <v>5000</v>
      </c>
      <c r="J1315" s="47">
        <v>8708</v>
      </c>
      <c r="K1315" s="47">
        <f t="shared" si="162"/>
        <v>132418</v>
      </c>
      <c r="L1315" s="47">
        <v>136990</v>
      </c>
      <c r="M1315" s="47">
        <f t="shared" si="163"/>
        <v>18280</v>
      </c>
      <c r="N1315" s="96">
        <f t="shared" si="165"/>
        <v>0.15398871198719569</v>
      </c>
      <c r="O1315" s="47">
        <f t="shared" si="164"/>
        <v>4572</v>
      </c>
      <c r="P1315" s="96">
        <f t="shared" si="166"/>
        <v>3.4527028047546406E-2</v>
      </c>
    </row>
    <row r="1316" spans="1:16">
      <c r="E1316" s="446" t="s">
        <v>47</v>
      </c>
      <c r="F1316" s="125">
        <v>75120</v>
      </c>
      <c r="G1316" s="135"/>
      <c r="H1316" s="135"/>
      <c r="I1316" s="136"/>
      <c r="J1316" s="125">
        <v>6508</v>
      </c>
      <c r="K1316" s="125">
        <f t="shared" si="162"/>
        <v>81628</v>
      </c>
      <c r="L1316" s="125">
        <v>82220</v>
      </c>
      <c r="M1316" s="125">
        <f t="shared" si="163"/>
        <v>7100</v>
      </c>
      <c r="N1316" s="284">
        <f t="shared" si="165"/>
        <v>9.4515441959531418E-2</v>
      </c>
      <c r="O1316" s="125">
        <f t="shared" si="164"/>
        <v>592</v>
      </c>
      <c r="P1316" s="284">
        <f t="shared" si="166"/>
        <v>7.2524133875630911E-3</v>
      </c>
    </row>
    <row r="1317" spans="1:16">
      <c r="E1317" s="446"/>
      <c r="F1317" s="125"/>
      <c r="G1317" s="135"/>
      <c r="H1317" s="135"/>
      <c r="I1317" s="136"/>
      <c r="J1317" s="125"/>
      <c r="K1317" s="125">
        <f t="shared" si="162"/>
        <v>0</v>
      </c>
      <c r="L1317" s="125">
        <v>0</v>
      </c>
      <c r="M1317" s="125">
        <f t="shared" si="163"/>
        <v>0</v>
      </c>
      <c r="N1317" s="284"/>
      <c r="O1317" s="125">
        <f t="shared" si="164"/>
        <v>0</v>
      </c>
      <c r="P1317" s="284"/>
    </row>
    <row r="1318" spans="1:16">
      <c r="E1318" s="447" t="s">
        <v>745</v>
      </c>
      <c r="F1318" s="125"/>
      <c r="G1318" s="135"/>
      <c r="H1318" s="135"/>
      <c r="I1318" s="136"/>
      <c r="J1318" s="135"/>
      <c r="K1318" s="125">
        <f t="shared" si="162"/>
        <v>0</v>
      </c>
      <c r="L1318" s="125">
        <v>0</v>
      </c>
      <c r="M1318" s="125">
        <f t="shared" si="163"/>
        <v>0</v>
      </c>
      <c r="N1318" s="284"/>
      <c r="O1318" s="125">
        <f t="shared" si="164"/>
        <v>0</v>
      </c>
      <c r="P1318" s="284"/>
    </row>
    <row r="1319" spans="1:16">
      <c r="E1319" s="448" t="s">
        <v>937</v>
      </c>
      <c r="F1319" s="125"/>
      <c r="G1319" s="135"/>
      <c r="H1319" s="135"/>
      <c r="I1319" s="136"/>
      <c r="J1319" s="135"/>
      <c r="K1319" s="125">
        <f t="shared" si="162"/>
        <v>0</v>
      </c>
      <c r="L1319" s="125">
        <v>0</v>
      </c>
      <c r="M1319" s="125">
        <f t="shared" si="163"/>
        <v>0</v>
      </c>
      <c r="N1319" s="284"/>
      <c r="O1319" s="125">
        <f t="shared" si="164"/>
        <v>0</v>
      </c>
      <c r="P1319" s="284"/>
    </row>
    <row r="1320" spans="1:16">
      <c r="E1320" s="400"/>
      <c r="F1320" s="401"/>
      <c r="G1320" s="135"/>
      <c r="H1320" s="135"/>
      <c r="I1320" s="136"/>
      <c r="J1320" s="135"/>
      <c r="K1320" s="401">
        <f t="shared" si="162"/>
        <v>0</v>
      </c>
      <c r="L1320" s="401">
        <v>0</v>
      </c>
      <c r="M1320" s="401">
        <f t="shared" si="163"/>
        <v>0</v>
      </c>
      <c r="N1320" s="322"/>
      <c r="O1320" s="401">
        <f t="shared" si="164"/>
        <v>0</v>
      </c>
      <c r="P1320" s="322"/>
    </row>
    <row r="1321" spans="1:16" ht="13.8">
      <c r="A1321" s="77" t="s">
        <v>675</v>
      </c>
      <c r="B1321" s="77" t="s">
        <v>166</v>
      </c>
      <c r="E1321" s="443" t="s">
        <v>108</v>
      </c>
      <c r="F1321" s="444">
        <f>F1324+F1328</f>
        <v>417480</v>
      </c>
      <c r="G1321" s="135"/>
      <c r="H1321" s="135"/>
      <c r="I1321" s="136"/>
      <c r="J1321" s="444">
        <f>J1324+J1328</f>
        <v>28115</v>
      </c>
      <c r="K1321" s="444">
        <f t="shared" si="162"/>
        <v>445595</v>
      </c>
      <c r="L1321" s="444">
        <f>L1322</f>
        <v>469437</v>
      </c>
      <c r="M1321" s="444">
        <f t="shared" si="163"/>
        <v>51957</v>
      </c>
      <c r="N1321" s="313">
        <f t="shared" si="165"/>
        <v>0.12445386605346363</v>
      </c>
      <c r="O1321" s="444">
        <f t="shared" si="164"/>
        <v>23842</v>
      </c>
      <c r="P1321" s="313">
        <f t="shared" si="166"/>
        <v>5.3505986377764561E-2</v>
      </c>
    </row>
    <row r="1322" spans="1:16" ht="26.4">
      <c r="C1322" s="537"/>
      <c r="D1322" s="537"/>
      <c r="E1322" s="449" t="s">
        <v>167</v>
      </c>
      <c r="F1322" s="419">
        <f>F1324+F1328</f>
        <v>417480</v>
      </c>
      <c r="G1322" s="135"/>
      <c r="H1322" s="135"/>
      <c r="I1322" s="136"/>
      <c r="J1322" s="419">
        <f>J1324+J1328</f>
        <v>28115</v>
      </c>
      <c r="K1322" s="419">
        <f t="shared" si="162"/>
        <v>445595</v>
      </c>
      <c r="L1322" s="419">
        <f>L1324+L1328</f>
        <v>469437</v>
      </c>
      <c r="M1322" s="419">
        <f t="shared" si="163"/>
        <v>51957</v>
      </c>
      <c r="N1322" s="370">
        <f t="shared" si="165"/>
        <v>0.12445386605346363</v>
      </c>
      <c r="O1322" s="419">
        <f t="shared" si="164"/>
        <v>23842</v>
      </c>
      <c r="P1322" s="370">
        <f t="shared" si="166"/>
        <v>5.3505986377764561E-2</v>
      </c>
    </row>
    <row r="1323" spans="1:16">
      <c r="E1323" s="450" t="s">
        <v>101</v>
      </c>
      <c r="F1323" s="127"/>
      <c r="G1323" s="135"/>
      <c r="H1323" s="135"/>
      <c r="I1323" s="136"/>
      <c r="J1323" s="127"/>
      <c r="K1323" s="127">
        <f t="shared" si="162"/>
        <v>0</v>
      </c>
      <c r="L1323" s="127">
        <v>0</v>
      </c>
      <c r="M1323" s="127">
        <f t="shared" si="163"/>
        <v>0</v>
      </c>
      <c r="N1323" s="160"/>
      <c r="O1323" s="127">
        <f t="shared" si="164"/>
        <v>0</v>
      </c>
      <c r="P1323" s="160"/>
    </row>
    <row r="1324" spans="1:16">
      <c r="E1324" s="336" t="s">
        <v>543</v>
      </c>
      <c r="F1324" s="268">
        <v>223290</v>
      </c>
      <c r="G1324" s="135"/>
      <c r="H1324" s="135"/>
      <c r="I1324" s="136"/>
      <c r="J1324" s="268">
        <v>12966</v>
      </c>
      <c r="K1324" s="268">
        <f t="shared" si="162"/>
        <v>236256</v>
      </c>
      <c r="L1324" s="268">
        <v>257308</v>
      </c>
      <c r="M1324" s="268">
        <f t="shared" si="163"/>
        <v>34018</v>
      </c>
      <c r="N1324" s="157">
        <f t="shared" si="165"/>
        <v>0.15234896323167182</v>
      </c>
      <c r="O1324" s="268">
        <f t="shared" si="164"/>
        <v>21052</v>
      </c>
      <c r="P1324" s="157">
        <f t="shared" si="166"/>
        <v>8.9106731680888535E-2</v>
      </c>
    </row>
    <row r="1325" spans="1:16">
      <c r="E1325" s="323" t="s">
        <v>47</v>
      </c>
      <c r="F1325" s="124">
        <v>149980</v>
      </c>
      <c r="G1325" s="135"/>
      <c r="H1325" s="135"/>
      <c r="I1325" s="136"/>
      <c r="J1325" s="124">
        <v>9690</v>
      </c>
      <c r="K1325" s="124">
        <f t="shared" si="162"/>
        <v>159670</v>
      </c>
      <c r="L1325" s="124">
        <v>161608</v>
      </c>
      <c r="M1325" s="124">
        <f t="shared" si="163"/>
        <v>11628</v>
      </c>
      <c r="N1325" s="270">
        <f t="shared" si="165"/>
        <v>7.7530337378317105E-2</v>
      </c>
      <c r="O1325" s="124">
        <f t="shared" si="164"/>
        <v>1938</v>
      </c>
      <c r="P1325" s="270">
        <f t="shared" si="166"/>
        <v>1.213753366318031E-2</v>
      </c>
    </row>
    <row r="1326" spans="1:16">
      <c r="E1326" s="323"/>
      <c r="F1326" s="124"/>
      <c r="G1326" s="135"/>
      <c r="H1326" s="135"/>
      <c r="I1326" s="136"/>
      <c r="J1326" s="124"/>
      <c r="K1326" s="124">
        <f t="shared" si="162"/>
        <v>0</v>
      </c>
      <c r="L1326" s="124">
        <v>0</v>
      </c>
      <c r="M1326" s="124">
        <f t="shared" si="163"/>
        <v>0</v>
      </c>
      <c r="N1326" s="270"/>
      <c r="O1326" s="124">
        <f t="shared" si="164"/>
        <v>0</v>
      </c>
      <c r="P1326" s="270"/>
    </row>
    <row r="1327" spans="1:16">
      <c r="E1327" s="450" t="s">
        <v>101</v>
      </c>
      <c r="F1327" s="127"/>
      <c r="G1327" s="135"/>
      <c r="H1327" s="135"/>
      <c r="I1327" s="136"/>
      <c r="J1327" s="127"/>
      <c r="K1327" s="127">
        <f t="shared" si="162"/>
        <v>0</v>
      </c>
      <c r="L1327" s="127">
        <v>0</v>
      </c>
      <c r="M1327" s="127">
        <f t="shared" si="163"/>
        <v>0</v>
      </c>
      <c r="N1327" s="160"/>
      <c r="O1327" s="127">
        <f t="shared" si="164"/>
        <v>0</v>
      </c>
      <c r="P1327" s="160"/>
    </row>
    <row r="1328" spans="1:16">
      <c r="E1328" s="336" t="s">
        <v>544</v>
      </c>
      <c r="F1328" s="268">
        <v>194190</v>
      </c>
      <c r="G1328" s="135"/>
      <c r="H1328" s="135"/>
      <c r="I1328" s="136"/>
      <c r="J1328" s="268">
        <v>15149</v>
      </c>
      <c r="K1328" s="268">
        <f t="shared" si="162"/>
        <v>209339</v>
      </c>
      <c r="L1328" s="268">
        <v>212129</v>
      </c>
      <c r="M1328" s="268">
        <f t="shared" si="163"/>
        <v>17939</v>
      </c>
      <c r="N1328" s="157">
        <f t="shared" si="165"/>
        <v>9.2378598280035015E-2</v>
      </c>
      <c r="O1328" s="268">
        <f t="shared" si="164"/>
        <v>2790</v>
      </c>
      <c r="P1328" s="157">
        <f t="shared" si="166"/>
        <v>1.3327664696974764E-2</v>
      </c>
    </row>
    <row r="1329" spans="1:16">
      <c r="E1329" s="323" t="s">
        <v>47</v>
      </c>
      <c r="F1329" s="124">
        <v>143520</v>
      </c>
      <c r="G1329" s="135"/>
      <c r="H1329" s="135"/>
      <c r="I1329" s="136"/>
      <c r="J1329" s="124">
        <v>11322</v>
      </c>
      <c r="K1329" s="124">
        <f t="shared" si="162"/>
        <v>154842</v>
      </c>
      <c r="L1329" s="124">
        <v>157107</v>
      </c>
      <c r="M1329" s="124">
        <f t="shared" si="163"/>
        <v>13587</v>
      </c>
      <c r="N1329" s="270">
        <f t="shared" si="165"/>
        <v>9.4669732441471574E-2</v>
      </c>
      <c r="O1329" s="124">
        <f t="shared" si="164"/>
        <v>2265</v>
      </c>
      <c r="P1329" s="270">
        <f t="shared" si="166"/>
        <v>1.4627814158949122E-2</v>
      </c>
    </row>
    <row r="1330" spans="1:16">
      <c r="E1330" s="323"/>
      <c r="F1330" s="124"/>
      <c r="G1330" s="135"/>
      <c r="H1330" s="135"/>
      <c r="I1330" s="136"/>
      <c r="J1330" s="124"/>
      <c r="K1330" s="124">
        <f t="shared" si="162"/>
        <v>0</v>
      </c>
      <c r="L1330" s="124">
        <v>0</v>
      </c>
      <c r="M1330" s="124">
        <f t="shared" si="163"/>
        <v>0</v>
      </c>
      <c r="N1330" s="270"/>
      <c r="O1330" s="124">
        <f t="shared" si="164"/>
        <v>0</v>
      </c>
      <c r="P1330" s="270"/>
    </row>
    <row r="1331" spans="1:16" ht="13.8">
      <c r="A1331" s="77" t="s">
        <v>679</v>
      </c>
      <c r="B1331" s="77" t="s">
        <v>166</v>
      </c>
      <c r="E1331" s="443" t="s">
        <v>163</v>
      </c>
      <c r="F1331" s="444">
        <f>F1332</f>
        <v>280000</v>
      </c>
      <c r="G1331" s="135"/>
      <c r="H1331" s="135"/>
      <c r="I1331" s="136"/>
      <c r="J1331" s="444">
        <f>J1332</f>
        <v>1121</v>
      </c>
      <c r="K1331" s="444">
        <f t="shared" si="162"/>
        <v>281121</v>
      </c>
      <c r="L1331" s="444">
        <f>L1332</f>
        <v>282261</v>
      </c>
      <c r="M1331" s="444">
        <f t="shared" si="163"/>
        <v>2261</v>
      </c>
      <c r="N1331" s="313">
        <f t="shared" si="165"/>
        <v>8.0750000000000006E-3</v>
      </c>
      <c r="O1331" s="444">
        <f t="shared" si="164"/>
        <v>1140</v>
      </c>
      <c r="P1331" s="313">
        <f t="shared" si="166"/>
        <v>4.0551933153339667E-3</v>
      </c>
    </row>
    <row r="1332" spans="1:16">
      <c r="C1332" s="537" t="s">
        <v>1021</v>
      </c>
      <c r="D1332" s="537" t="s">
        <v>949</v>
      </c>
      <c r="E1332" s="339" t="s">
        <v>164</v>
      </c>
      <c r="F1332" s="123">
        <v>280000</v>
      </c>
      <c r="G1332" s="135"/>
      <c r="H1332" s="135"/>
      <c r="I1332" s="136"/>
      <c r="J1332" s="123">
        <v>1121</v>
      </c>
      <c r="K1332" s="123">
        <f t="shared" si="162"/>
        <v>281121</v>
      </c>
      <c r="L1332" s="123">
        <v>282261</v>
      </c>
      <c r="M1332" s="123">
        <f t="shared" si="163"/>
        <v>2261</v>
      </c>
      <c r="N1332" s="160">
        <f t="shared" si="165"/>
        <v>8.0750000000000006E-3</v>
      </c>
      <c r="O1332" s="123">
        <f t="shared" si="164"/>
        <v>1140</v>
      </c>
      <c r="P1332" s="160">
        <f t="shared" si="166"/>
        <v>4.0551933153339667E-3</v>
      </c>
    </row>
    <row r="1333" spans="1:16">
      <c r="E1333" s="132" t="s">
        <v>47</v>
      </c>
      <c r="F1333" s="124">
        <v>7010</v>
      </c>
      <c r="G1333" s="135"/>
      <c r="H1333" s="135"/>
      <c r="I1333" s="136"/>
      <c r="J1333" s="124">
        <v>838</v>
      </c>
      <c r="K1333" s="124">
        <f t="shared" si="162"/>
        <v>7848</v>
      </c>
      <c r="L1333" s="124">
        <v>8700</v>
      </c>
      <c r="M1333" s="124">
        <f t="shared" si="163"/>
        <v>1690</v>
      </c>
      <c r="N1333" s="270">
        <f t="shared" si="165"/>
        <v>0.24108416547788872</v>
      </c>
      <c r="O1333" s="124">
        <f t="shared" si="164"/>
        <v>852</v>
      </c>
      <c r="P1333" s="270">
        <f t="shared" si="166"/>
        <v>0.10856269113149847</v>
      </c>
    </row>
    <row r="1334" spans="1:16">
      <c r="E1334" s="147"/>
      <c r="F1334" s="136"/>
      <c r="G1334" s="135"/>
      <c r="H1334" s="135"/>
      <c r="I1334" s="136"/>
      <c r="J1334" s="135"/>
      <c r="K1334" s="136">
        <f t="shared" si="162"/>
        <v>0</v>
      </c>
      <c r="L1334" s="136">
        <v>0</v>
      </c>
      <c r="M1334" s="136">
        <f t="shared" si="163"/>
        <v>0</v>
      </c>
      <c r="N1334" s="157"/>
      <c r="O1334" s="136">
        <f t="shared" si="164"/>
        <v>0</v>
      </c>
      <c r="P1334" s="157"/>
    </row>
    <row r="1335" spans="1:16">
      <c r="E1335" s="426" t="s">
        <v>102</v>
      </c>
      <c r="F1335" s="427">
        <f>F1337+F1340+F1346+F1348+F1350+F1352+F1354+F1344+F1342</f>
        <v>1776254</v>
      </c>
      <c r="G1335" s="427">
        <f>G1337+G1340+G1346+G1348+G1350+G1352+G1354+G1344+G1342</f>
        <v>0</v>
      </c>
      <c r="H1335" s="427">
        <f>H1337+H1340+H1346+H1348+H1350+H1352+H1354+H1344+H1342</f>
        <v>41818</v>
      </c>
      <c r="I1335" s="427">
        <f>I1337+I1340+I1346+I1348+I1350+I1352+I1354+I1344+I1342</f>
        <v>57795</v>
      </c>
      <c r="J1335" s="427">
        <f>J1337+J1341</f>
        <v>150299</v>
      </c>
      <c r="K1335" s="427">
        <f t="shared" si="162"/>
        <v>2026166</v>
      </c>
      <c r="L1335" s="427">
        <f>L1337+L1340+L1342+L1344+L1346+L1348+L1350+L1352+L1354</f>
        <v>2107970</v>
      </c>
      <c r="M1335" s="427">
        <f t="shared" si="163"/>
        <v>331716</v>
      </c>
      <c r="N1335" s="370">
        <f t="shared" si="165"/>
        <v>0.18675031836663</v>
      </c>
      <c r="O1335" s="427">
        <f t="shared" si="164"/>
        <v>81804</v>
      </c>
      <c r="P1335" s="370">
        <f t="shared" si="166"/>
        <v>4.0373789709234088E-2</v>
      </c>
    </row>
    <row r="1336" spans="1:16">
      <c r="E1336" s="426"/>
      <c r="F1336" s="427"/>
      <c r="G1336" s="135"/>
      <c r="H1336" s="135"/>
      <c r="I1336" s="136"/>
      <c r="J1336" s="427"/>
      <c r="K1336" s="427">
        <f t="shared" si="162"/>
        <v>0</v>
      </c>
      <c r="L1336" s="427">
        <v>0</v>
      </c>
      <c r="M1336" s="427">
        <f t="shared" si="163"/>
        <v>0</v>
      </c>
      <c r="N1336" s="370"/>
      <c r="O1336" s="427">
        <f t="shared" si="164"/>
        <v>0</v>
      </c>
      <c r="P1336" s="370"/>
    </row>
    <row r="1337" spans="1:16">
      <c r="A1337" s="77" t="s">
        <v>670</v>
      </c>
      <c r="B1337" s="77" t="s">
        <v>166</v>
      </c>
      <c r="C1337" s="537"/>
      <c r="D1337" s="537"/>
      <c r="E1337" s="267" t="s">
        <v>168</v>
      </c>
      <c r="F1337" s="268">
        <v>1311854</v>
      </c>
      <c r="G1337" s="135"/>
      <c r="H1337" s="268">
        <v>-4542</v>
      </c>
      <c r="I1337" s="268">
        <v>-1005</v>
      </c>
      <c r="J1337" s="268">
        <v>150299</v>
      </c>
      <c r="K1337" s="268">
        <f t="shared" si="162"/>
        <v>1456606</v>
      </c>
      <c r="L1337" s="268">
        <v>1556470</v>
      </c>
      <c r="M1337" s="268">
        <f t="shared" si="163"/>
        <v>244616</v>
      </c>
      <c r="N1337" s="157">
        <f t="shared" si="165"/>
        <v>0.18646587196441067</v>
      </c>
      <c r="O1337" s="268">
        <f t="shared" si="164"/>
        <v>99864</v>
      </c>
      <c r="P1337" s="157">
        <f t="shared" si="166"/>
        <v>6.8559377072454727E-2</v>
      </c>
    </row>
    <row r="1338" spans="1:16">
      <c r="E1338" s="130" t="s">
        <v>47</v>
      </c>
      <c r="F1338" s="124">
        <v>844989</v>
      </c>
      <c r="G1338" s="135"/>
      <c r="H1338" s="124">
        <v>-6384</v>
      </c>
      <c r="I1338" s="124">
        <v>-752</v>
      </c>
      <c r="J1338" s="124">
        <v>112331</v>
      </c>
      <c r="K1338" s="124">
        <f t="shared" si="162"/>
        <v>950184</v>
      </c>
      <c r="L1338" s="124">
        <v>1030338</v>
      </c>
      <c r="M1338" s="124">
        <f t="shared" si="163"/>
        <v>185349</v>
      </c>
      <c r="N1338" s="270">
        <f t="shared" si="165"/>
        <v>0.21935078444808156</v>
      </c>
      <c r="O1338" s="124">
        <f t="shared" si="164"/>
        <v>80154</v>
      </c>
      <c r="P1338" s="270">
        <f t="shared" si="166"/>
        <v>8.435629309691596E-2</v>
      </c>
    </row>
    <row r="1339" spans="1:16">
      <c r="E1339" s="267"/>
      <c r="F1339" s="268"/>
      <c r="G1339" s="135"/>
      <c r="H1339" s="135"/>
      <c r="I1339" s="136"/>
      <c r="J1339" s="135"/>
      <c r="K1339" s="268">
        <f t="shared" si="162"/>
        <v>0</v>
      </c>
      <c r="L1339" s="268">
        <v>0</v>
      </c>
      <c r="M1339" s="268">
        <f t="shared" si="163"/>
        <v>0</v>
      </c>
      <c r="N1339" s="157"/>
      <c r="O1339" s="268">
        <f t="shared" si="164"/>
        <v>0</v>
      </c>
      <c r="P1339" s="157"/>
    </row>
    <row r="1340" spans="1:16">
      <c r="A1340" s="77" t="s">
        <v>672</v>
      </c>
      <c r="B1340" s="77" t="s">
        <v>166</v>
      </c>
      <c r="C1340" s="537"/>
      <c r="D1340" s="537"/>
      <c r="E1340" s="290" t="s">
        <v>387</v>
      </c>
      <c r="F1340" s="291">
        <v>120000</v>
      </c>
      <c r="G1340" s="135"/>
      <c r="H1340" s="135"/>
      <c r="I1340" s="136">
        <v>9435</v>
      </c>
      <c r="J1340" s="135"/>
      <c r="K1340" s="291">
        <f t="shared" si="162"/>
        <v>129435</v>
      </c>
      <c r="L1340" s="291">
        <v>123000</v>
      </c>
      <c r="M1340" s="291">
        <f t="shared" si="163"/>
        <v>3000</v>
      </c>
      <c r="N1340" s="282">
        <f t="shared" si="165"/>
        <v>2.5000000000000001E-2</v>
      </c>
      <c r="O1340" s="291">
        <f t="shared" si="164"/>
        <v>-6435</v>
      </c>
      <c r="P1340" s="282">
        <f t="shared" si="166"/>
        <v>-4.9716073704948432E-2</v>
      </c>
    </row>
    <row r="1341" spans="1:16">
      <c r="E1341" s="130"/>
      <c r="F1341" s="124"/>
      <c r="G1341" s="135"/>
      <c r="H1341" s="135"/>
      <c r="I1341" s="136"/>
      <c r="J1341" s="135"/>
      <c r="K1341" s="124">
        <f t="shared" si="162"/>
        <v>0</v>
      </c>
      <c r="L1341" s="124">
        <v>0</v>
      </c>
      <c r="M1341" s="124">
        <f t="shared" si="163"/>
        <v>0</v>
      </c>
      <c r="N1341" s="270"/>
      <c r="O1341" s="124">
        <f t="shared" si="164"/>
        <v>0</v>
      </c>
      <c r="P1341" s="270"/>
    </row>
    <row r="1342" spans="1:16">
      <c r="A1342" s="77" t="s">
        <v>672</v>
      </c>
      <c r="B1342" s="77" t="s">
        <v>166</v>
      </c>
      <c r="C1342" s="537"/>
      <c r="D1342" s="537"/>
      <c r="E1342" s="290" t="s">
        <v>141</v>
      </c>
      <c r="F1342" s="291">
        <v>9200</v>
      </c>
      <c r="G1342" s="135"/>
      <c r="H1342" s="135"/>
      <c r="I1342" s="136">
        <v>65</v>
      </c>
      <c r="J1342" s="135"/>
      <c r="K1342" s="291">
        <f t="shared" si="162"/>
        <v>9265</v>
      </c>
      <c r="L1342" s="291">
        <v>9200</v>
      </c>
      <c r="M1342" s="291">
        <f t="shared" si="163"/>
        <v>0</v>
      </c>
      <c r="N1342" s="282">
        <f t="shared" si="165"/>
        <v>0</v>
      </c>
      <c r="O1342" s="291">
        <f t="shared" si="164"/>
        <v>-65</v>
      </c>
      <c r="P1342" s="282">
        <f t="shared" si="166"/>
        <v>-7.0156502968159737E-3</v>
      </c>
    </row>
    <row r="1343" spans="1:16">
      <c r="E1343" s="130"/>
      <c r="F1343" s="124"/>
      <c r="G1343" s="135"/>
      <c r="H1343" s="135"/>
      <c r="I1343" s="136"/>
      <c r="J1343" s="135"/>
      <c r="K1343" s="124">
        <f t="shared" si="162"/>
        <v>0</v>
      </c>
      <c r="L1343" s="124">
        <v>0</v>
      </c>
      <c r="M1343" s="124">
        <f t="shared" si="163"/>
        <v>0</v>
      </c>
      <c r="N1343" s="270"/>
      <c r="O1343" s="124">
        <f t="shared" si="164"/>
        <v>0</v>
      </c>
      <c r="P1343" s="270"/>
    </row>
    <row r="1344" spans="1:16">
      <c r="A1344" s="77" t="s">
        <v>675</v>
      </c>
      <c r="B1344" s="77" t="s">
        <v>166</v>
      </c>
      <c r="C1344" s="537"/>
      <c r="D1344" s="537"/>
      <c r="E1344" s="290" t="s">
        <v>169</v>
      </c>
      <c r="F1344" s="291">
        <v>51100</v>
      </c>
      <c r="G1344" s="135"/>
      <c r="H1344" s="135"/>
      <c r="I1344" s="136"/>
      <c r="J1344" s="135"/>
      <c r="K1344" s="291">
        <f t="shared" si="162"/>
        <v>51100</v>
      </c>
      <c r="L1344" s="291">
        <v>51100</v>
      </c>
      <c r="M1344" s="291">
        <f t="shared" si="163"/>
        <v>0</v>
      </c>
      <c r="N1344" s="282">
        <f t="shared" si="165"/>
        <v>0</v>
      </c>
      <c r="O1344" s="291">
        <f t="shared" si="164"/>
        <v>0</v>
      </c>
      <c r="P1344" s="282">
        <f t="shared" si="166"/>
        <v>0</v>
      </c>
    </row>
    <row r="1345" spans="1:16">
      <c r="E1345" s="104"/>
      <c r="F1345" s="136"/>
      <c r="G1345" s="135"/>
      <c r="H1345" s="135"/>
      <c r="I1345" s="136"/>
      <c r="J1345" s="135"/>
      <c r="K1345" s="136">
        <f t="shared" si="162"/>
        <v>0</v>
      </c>
      <c r="L1345" s="136">
        <v>0</v>
      </c>
      <c r="M1345" s="136">
        <f t="shared" si="163"/>
        <v>0</v>
      </c>
      <c r="N1345" s="157"/>
      <c r="O1345" s="136">
        <f t="shared" si="164"/>
        <v>0</v>
      </c>
      <c r="P1345" s="157"/>
    </row>
    <row r="1346" spans="1:16">
      <c r="A1346" s="77" t="s">
        <v>679</v>
      </c>
      <c r="B1346" s="77" t="s">
        <v>166</v>
      </c>
      <c r="C1346" s="537" t="s">
        <v>1021</v>
      </c>
      <c r="D1346" s="537" t="s">
        <v>1007</v>
      </c>
      <c r="E1346" s="290" t="s">
        <v>165</v>
      </c>
      <c r="F1346" s="291">
        <v>58100</v>
      </c>
      <c r="G1346" s="135"/>
      <c r="H1346" s="136">
        <v>6000</v>
      </c>
      <c r="I1346" s="136">
        <v>7500</v>
      </c>
      <c r="J1346" s="135"/>
      <c r="K1346" s="291">
        <f t="shared" si="162"/>
        <v>71600</v>
      </c>
      <c r="L1346" s="291">
        <v>58100</v>
      </c>
      <c r="M1346" s="291">
        <f t="shared" si="163"/>
        <v>0</v>
      </c>
      <c r="N1346" s="282">
        <f t="shared" si="165"/>
        <v>0</v>
      </c>
      <c r="O1346" s="291">
        <f t="shared" si="164"/>
        <v>-13500</v>
      </c>
      <c r="P1346" s="282">
        <f t="shared" si="166"/>
        <v>-0.18854748603351956</v>
      </c>
    </row>
    <row r="1347" spans="1:16">
      <c r="E1347" s="290"/>
      <c r="F1347" s="291"/>
      <c r="G1347" s="135"/>
      <c r="H1347" s="136"/>
      <c r="I1347" s="136"/>
      <c r="J1347" s="135"/>
      <c r="K1347" s="291">
        <f t="shared" si="162"/>
        <v>0</v>
      </c>
      <c r="L1347" s="291">
        <v>0</v>
      </c>
      <c r="M1347" s="291">
        <f t="shared" si="163"/>
        <v>0</v>
      </c>
      <c r="N1347" s="282"/>
      <c r="O1347" s="291">
        <f t="shared" si="164"/>
        <v>0</v>
      </c>
      <c r="P1347" s="282"/>
    </row>
    <row r="1348" spans="1:16">
      <c r="A1348" s="77" t="s">
        <v>679</v>
      </c>
      <c r="B1348" s="77" t="s">
        <v>166</v>
      </c>
      <c r="C1348" s="537" t="s">
        <v>1021</v>
      </c>
      <c r="D1348" s="537" t="s">
        <v>1007</v>
      </c>
      <c r="E1348" s="290" t="s">
        <v>170</v>
      </c>
      <c r="F1348" s="291">
        <v>51000</v>
      </c>
      <c r="G1348" s="135"/>
      <c r="H1348" s="136">
        <v>10860</v>
      </c>
      <c r="I1348" s="136">
        <v>5500</v>
      </c>
      <c r="J1348" s="135"/>
      <c r="K1348" s="291">
        <f t="shared" si="162"/>
        <v>67360</v>
      </c>
      <c r="L1348" s="291">
        <v>83100</v>
      </c>
      <c r="M1348" s="291">
        <f t="shared" si="163"/>
        <v>32100</v>
      </c>
      <c r="N1348" s="282">
        <f t="shared" si="165"/>
        <v>0.62941176470588234</v>
      </c>
      <c r="O1348" s="291">
        <f t="shared" si="164"/>
        <v>15740</v>
      </c>
      <c r="P1348" s="282">
        <f t="shared" si="166"/>
        <v>0.23366983372921615</v>
      </c>
    </row>
    <row r="1349" spans="1:16">
      <c r="E1349" s="290"/>
      <c r="F1349" s="291"/>
      <c r="G1349" s="135"/>
      <c r="H1349" s="136"/>
      <c r="I1349" s="136"/>
      <c r="J1349" s="135"/>
      <c r="K1349" s="291">
        <f t="shared" si="162"/>
        <v>0</v>
      </c>
      <c r="L1349" s="291">
        <v>0</v>
      </c>
      <c r="M1349" s="291">
        <f t="shared" si="163"/>
        <v>0</v>
      </c>
      <c r="N1349" s="282"/>
      <c r="O1349" s="291">
        <f t="shared" si="164"/>
        <v>0</v>
      </c>
      <c r="P1349" s="282"/>
    </row>
    <row r="1350" spans="1:16">
      <c r="A1350" s="77" t="s">
        <v>678</v>
      </c>
      <c r="B1350" s="77" t="s">
        <v>166</v>
      </c>
      <c r="C1350" s="537" t="s">
        <v>1028</v>
      </c>
      <c r="D1350" s="537" t="s">
        <v>966</v>
      </c>
      <c r="E1350" s="273" t="s">
        <v>171</v>
      </c>
      <c r="F1350" s="131">
        <v>47500</v>
      </c>
      <c r="G1350" s="135"/>
      <c r="H1350" s="136"/>
      <c r="I1350" s="136">
        <v>6800</v>
      </c>
      <c r="J1350" s="135"/>
      <c r="K1350" s="131">
        <f t="shared" si="162"/>
        <v>54300</v>
      </c>
      <c r="L1350" s="131">
        <v>55000</v>
      </c>
      <c r="M1350" s="131">
        <f t="shared" si="163"/>
        <v>7500</v>
      </c>
      <c r="N1350" s="157">
        <f t="shared" si="165"/>
        <v>0.15789473684210525</v>
      </c>
      <c r="O1350" s="131">
        <f t="shared" si="164"/>
        <v>700</v>
      </c>
      <c r="P1350" s="157">
        <f t="shared" si="166"/>
        <v>1.289134438305709E-2</v>
      </c>
    </row>
    <row r="1351" spans="1:16">
      <c r="E1351" s="147"/>
      <c r="F1351" s="136"/>
      <c r="G1351" s="135"/>
      <c r="H1351" s="136"/>
      <c r="I1351" s="136"/>
      <c r="J1351" s="135"/>
      <c r="K1351" s="136">
        <f t="shared" si="162"/>
        <v>0</v>
      </c>
      <c r="L1351" s="136">
        <v>0</v>
      </c>
      <c r="M1351" s="136">
        <f t="shared" si="163"/>
        <v>0</v>
      </c>
      <c r="N1351" s="157"/>
      <c r="O1351" s="136">
        <f t="shared" si="164"/>
        <v>0</v>
      </c>
      <c r="P1351" s="157"/>
    </row>
    <row r="1352" spans="1:16">
      <c r="A1352" s="77" t="s">
        <v>678</v>
      </c>
      <c r="B1352" s="77" t="s">
        <v>166</v>
      </c>
      <c r="C1352" s="537" t="s">
        <v>1028</v>
      </c>
      <c r="D1352" s="537" t="s">
        <v>966</v>
      </c>
      <c r="E1352" s="273" t="s">
        <v>154</v>
      </c>
      <c r="F1352" s="131">
        <v>118000</v>
      </c>
      <c r="G1352" s="135"/>
      <c r="H1352" s="136">
        <v>29500</v>
      </c>
      <c r="I1352" s="136">
        <v>39000</v>
      </c>
      <c r="J1352" s="135"/>
      <c r="K1352" s="131">
        <f t="shared" ref="K1352:K1415" si="167">F1352+G1352+H1352+J1352+I1352</f>
        <v>186500</v>
      </c>
      <c r="L1352" s="131">
        <v>164500</v>
      </c>
      <c r="M1352" s="131">
        <f t="shared" ref="M1352:M1415" si="168">L1352-F1352</f>
        <v>46500</v>
      </c>
      <c r="N1352" s="157">
        <f t="shared" ref="N1352:N1414" si="169">M1352/F1352</f>
        <v>0.3940677966101695</v>
      </c>
      <c r="O1352" s="131">
        <f t="shared" ref="O1352:O1415" si="170">L1352-K1352</f>
        <v>-22000</v>
      </c>
      <c r="P1352" s="157">
        <f t="shared" ref="P1352:P1414" si="171">O1352/K1352</f>
        <v>-0.11796246648793565</v>
      </c>
    </row>
    <row r="1353" spans="1:16">
      <c r="E1353" s="273"/>
      <c r="F1353" s="131"/>
      <c r="G1353" s="135"/>
      <c r="H1353" s="135"/>
      <c r="I1353" s="136"/>
      <c r="J1353" s="135"/>
      <c r="K1353" s="131">
        <f t="shared" si="167"/>
        <v>0</v>
      </c>
      <c r="L1353" s="131">
        <v>0</v>
      </c>
      <c r="M1353" s="131">
        <f t="shared" si="168"/>
        <v>0</v>
      </c>
      <c r="N1353" s="157"/>
      <c r="O1353" s="131">
        <f t="shared" si="170"/>
        <v>0</v>
      </c>
      <c r="P1353" s="157"/>
    </row>
    <row r="1354" spans="1:16">
      <c r="A1354" s="77" t="s">
        <v>692</v>
      </c>
      <c r="B1354" s="77" t="s">
        <v>166</v>
      </c>
      <c r="C1354" s="537"/>
      <c r="D1354" s="537"/>
      <c r="E1354" s="273" t="s">
        <v>172</v>
      </c>
      <c r="F1354" s="131">
        <v>9500</v>
      </c>
      <c r="G1354" s="135"/>
      <c r="H1354" s="135"/>
      <c r="I1354" s="136">
        <v>-9500</v>
      </c>
      <c r="J1354" s="135"/>
      <c r="K1354" s="131">
        <f t="shared" si="167"/>
        <v>0</v>
      </c>
      <c r="L1354" s="131">
        <v>7500</v>
      </c>
      <c r="M1354" s="131">
        <f t="shared" si="168"/>
        <v>-2000</v>
      </c>
      <c r="N1354" s="157">
        <f t="shared" si="169"/>
        <v>-0.21052631578947367</v>
      </c>
      <c r="O1354" s="131">
        <f t="shared" si="170"/>
        <v>7500</v>
      </c>
      <c r="P1354" s="157"/>
    </row>
    <row r="1355" spans="1:16">
      <c r="E1355" s="271"/>
      <c r="F1355" s="128"/>
      <c r="G1355" s="135"/>
      <c r="H1355" s="135"/>
      <c r="I1355" s="136"/>
      <c r="J1355" s="135"/>
      <c r="K1355" s="128">
        <f t="shared" si="167"/>
        <v>0</v>
      </c>
      <c r="L1355" s="128">
        <v>0</v>
      </c>
      <c r="M1355" s="128">
        <f t="shared" si="168"/>
        <v>0</v>
      </c>
      <c r="N1355" s="91"/>
      <c r="O1355" s="128">
        <f t="shared" si="170"/>
        <v>0</v>
      </c>
      <c r="P1355" s="91"/>
    </row>
    <row r="1356" spans="1:16">
      <c r="E1356" s="271"/>
      <c r="F1356" s="128"/>
      <c r="G1356" s="135"/>
      <c r="H1356" s="135"/>
      <c r="I1356" s="136"/>
      <c r="J1356" s="135"/>
      <c r="K1356" s="128">
        <f t="shared" si="167"/>
        <v>0</v>
      </c>
      <c r="L1356" s="128">
        <v>0</v>
      </c>
      <c r="M1356" s="128">
        <f t="shared" si="168"/>
        <v>0</v>
      </c>
      <c r="N1356" s="91"/>
      <c r="O1356" s="128">
        <f t="shared" si="170"/>
        <v>0</v>
      </c>
      <c r="P1356" s="91"/>
    </row>
    <row r="1357" spans="1:16" ht="15.6">
      <c r="E1357" s="259" t="s">
        <v>349</v>
      </c>
      <c r="F1357" s="260"/>
      <c r="G1357" s="135"/>
      <c r="H1357" s="135"/>
      <c r="I1357" s="136"/>
      <c r="J1357" s="135"/>
      <c r="K1357" s="260">
        <f t="shared" si="167"/>
        <v>0</v>
      </c>
      <c r="L1357" s="260">
        <v>0</v>
      </c>
      <c r="M1357" s="260">
        <f t="shared" si="168"/>
        <v>0</v>
      </c>
      <c r="N1357" s="275"/>
      <c r="O1357" s="260">
        <f t="shared" si="170"/>
        <v>0</v>
      </c>
      <c r="P1357" s="275"/>
    </row>
    <row r="1358" spans="1:16">
      <c r="E1358" s="263"/>
      <c r="F1358" s="128"/>
      <c r="G1358" s="135"/>
      <c r="H1358" s="135"/>
      <c r="I1358" s="136"/>
      <c r="J1358" s="135"/>
      <c r="K1358" s="128">
        <f t="shared" si="167"/>
        <v>0</v>
      </c>
      <c r="L1358" s="128">
        <v>0</v>
      </c>
      <c r="M1358" s="128">
        <f t="shared" si="168"/>
        <v>0</v>
      </c>
      <c r="N1358" s="91"/>
      <c r="O1358" s="128">
        <f t="shared" si="170"/>
        <v>0</v>
      </c>
      <c r="P1358" s="91"/>
    </row>
    <row r="1359" spans="1:16">
      <c r="E1359" s="261" t="s">
        <v>98</v>
      </c>
      <c r="F1359" s="127">
        <f>F1368+F1376+F1382+F1397+F1401</f>
        <v>6391786</v>
      </c>
      <c r="G1359" s="135"/>
      <c r="H1359" s="127">
        <f>H1368+H1376+H1382+H1397+H1401</f>
        <v>268032</v>
      </c>
      <c r="I1359" s="127">
        <f>I1368+I1376+I1382+I1397+I1401</f>
        <v>83822</v>
      </c>
      <c r="J1359" s="127">
        <f>J1368+J1376+J1382+J1397+J1401</f>
        <v>286493</v>
      </c>
      <c r="K1359" s="127">
        <f t="shared" si="167"/>
        <v>7030133</v>
      </c>
      <c r="L1359" s="127">
        <f>L1368+L1376+L1382+L1397+L1401</f>
        <v>6940287</v>
      </c>
      <c r="M1359" s="127">
        <f t="shared" si="168"/>
        <v>548501</v>
      </c>
      <c r="N1359" s="160">
        <f t="shared" si="169"/>
        <v>8.5813417407904463E-2</v>
      </c>
      <c r="O1359" s="127">
        <f t="shared" si="170"/>
        <v>-89846</v>
      </c>
      <c r="P1359" s="160">
        <f t="shared" si="171"/>
        <v>-1.2780128057321248E-2</v>
      </c>
    </row>
    <row r="1360" spans="1:16">
      <c r="E1360" s="262" t="s">
        <v>359</v>
      </c>
      <c r="F1360" s="128">
        <v>2132300</v>
      </c>
      <c r="G1360" s="135"/>
      <c r="H1360" s="128"/>
      <c r="I1360" s="128"/>
      <c r="J1360" s="128"/>
      <c r="K1360" s="128">
        <f t="shared" si="167"/>
        <v>2132300</v>
      </c>
      <c r="L1360" s="128">
        <v>2093870</v>
      </c>
      <c r="M1360" s="128">
        <f t="shared" si="168"/>
        <v>-38430</v>
      </c>
      <c r="N1360" s="91">
        <f t="shared" si="169"/>
        <v>-1.8022792290015476E-2</v>
      </c>
      <c r="O1360" s="128">
        <f t="shared" si="170"/>
        <v>-38430</v>
      </c>
      <c r="P1360" s="91">
        <f t="shared" si="171"/>
        <v>-1.8022792290015476E-2</v>
      </c>
    </row>
    <row r="1361" spans="1:16">
      <c r="E1361" s="261" t="s">
        <v>44</v>
      </c>
      <c r="F1361" s="127">
        <f>SUM(F1362:F1365)</f>
        <v>6391786</v>
      </c>
      <c r="G1361" s="135"/>
      <c r="H1361" s="127">
        <f>SUM(H1362:H1365)</f>
        <v>268032</v>
      </c>
      <c r="I1361" s="127">
        <f>SUM(I1362:I1365)</f>
        <v>83822</v>
      </c>
      <c r="J1361" s="127">
        <f>SUM(J1362:J1365)</f>
        <v>286493</v>
      </c>
      <c r="K1361" s="127">
        <f t="shared" si="167"/>
        <v>7030133</v>
      </c>
      <c r="L1361" s="127">
        <f>SUM(L1362:L1365)</f>
        <v>6940287</v>
      </c>
      <c r="M1361" s="127">
        <f t="shared" si="168"/>
        <v>548501</v>
      </c>
      <c r="N1361" s="160">
        <f t="shared" si="169"/>
        <v>8.5813417407904463E-2</v>
      </c>
      <c r="O1361" s="127">
        <f t="shared" si="170"/>
        <v>-89846</v>
      </c>
      <c r="P1361" s="160">
        <f t="shared" si="171"/>
        <v>-1.2780128057321248E-2</v>
      </c>
    </row>
    <row r="1362" spans="1:16">
      <c r="E1362" s="262" t="s">
        <v>45</v>
      </c>
      <c r="F1362" s="128">
        <v>4483100</v>
      </c>
      <c r="G1362" s="135"/>
      <c r="H1362" s="128">
        <v>-429840</v>
      </c>
      <c r="I1362" s="128">
        <v>-446290</v>
      </c>
      <c r="J1362" s="128"/>
      <c r="K1362" s="128">
        <f t="shared" si="167"/>
        <v>3606970</v>
      </c>
      <c r="L1362" s="128">
        <v>4708500</v>
      </c>
      <c r="M1362" s="128">
        <f t="shared" si="168"/>
        <v>225400</v>
      </c>
      <c r="N1362" s="91">
        <f t="shared" si="169"/>
        <v>5.0277709620575047E-2</v>
      </c>
      <c r="O1362" s="128">
        <f t="shared" si="170"/>
        <v>1101530</v>
      </c>
      <c r="P1362" s="91">
        <f t="shared" si="171"/>
        <v>0.30538928796191817</v>
      </c>
    </row>
    <row r="1363" spans="1:16">
      <c r="E1363" s="263" t="s">
        <v>33</v>
      </c>
      <c r="F1363" s="128">
        <v>27370</v>
      </c>
      <c r="G1363" s="135"/>
      <c r="H1363" s="128"/>
      <c r="I1363" s="128"/>
      <c r="J1363" s="128"/>
      <c r="K1363" s="128">
        <f t="shared" si="167"/>
        <v>27370</v>
      </c>
      <c r="L1363" s="128">
        <v>0</v>
      </c>
      <c r="M1363" s="128">
        <f t="shared" si="168"/>
        <v>-27370</v>
      </c>
      <c r="N1363" s="91">
        <f t="shared" si="169"/>
        <v>-1</v>
      </c>
      <c r="O1363" s="128">
        <f t="shared" si="170"/>
        <v>-27370</v>
      </c>
      <c r="P1363" s="91">
        <f t="shared" si="171"/>
        <v>-1</v>
      </c>
    </row>
    <row r="1364" spans="1:16">
      <c r="E1364" s="263" t="s">
        <v>506</v>
      </c>
      <c r="F1364" s="128">
        <v>4830</v>
      </c>
      <c r="G1364" s="135"/>
      <c r="H1364" s="128"/>
      <c r="I1364" s="128"/>
      <c r="J1364" s="128"/>
      <c r="K1364" s="128">
        <f t="shared" si="167"/>
        <v>4830</v>
      </c>
      <c r="L1364" s="128">
        <v>0</v>
      </c>
      <c r="M1364" s="128">
        <f t="shared" si="168"/>
        <v>-4830</v>
      </c>
      <c r="N1364" s="91">
        <f t="shared" si="169"/>
        <v>-1</v>
      </c>
      <c r="O1364" s="128">
        <f t="shared" si="170"/>
        <v>-4830</v>
      </c>
      <c r="P1364" s="91">
        <f t="shared" si="171"/>
        <v>-1</v>
      </c>
    </row>
    <row r="1365" spans="1:16">
      <c r="E1365" s="263" t="s">
        <v>46</v>
      </c>
      <c r="F1365" s="128">
        <f>F1359-F1362-F1363-F1364</f>
        <v>1876486</v>
      </c>
      <c r="G1365" s="135"/>
      <c r="H1365" s="128">
        <f>H1359-H1362-H1363-H1364</f>
        <v>697872</v>
      </c>
      <c r="I1365" s="128">
        <f>I1359-I1362-I1363-I1364</f>
        <v>530112</v>
      </c>
      <c r="J1365" s="128">
        <f>J1359-J1362-J1363-J1364</f>
        <v>286493</v>
      </c>
      <c r="K1365" s="128">
        <f t="shared" si="167"/>
        <v>3390963</v>
      </c>
      <c r="L1365" s="128">
        <f>L1359-L1362-L1363-L1364</f>
        <v>2231787</v>
      </c>
      <c r="M1365" s="128">
        <f t="shared" si="168"/>
        <v>355301</v>
      </c>
      <c r="N1365" s="91">
        <f t="shared" si="169"/>
        <v>0.18934380538943535</v>
      </c>
      <c r="O1365" s="128">
        <f t="shared" si="170"/>
        <v>-1159176</v>
      </c>
      <c r="P1365" s="91">
        <f t="shared" si="171"/>
        <v>-0.34184271547640005</v>
      </c>
    </row>
    <row r="1366" spans="1:16" s="10" customFormat="1">
      <c r="A1366" s="135"/>
      <c r="B1366" s="135"/>
      <c r="C1366" s="482"/>
      <c r="D1366" s="482"/>
      <c r="E1366" s="264" t="s">
        <v>718</v>
      </c>
      <c r="F1366" s="129">
        <f>F1380+F1386+F1391+F1395+F1404+F1407+F1429+F1434+F1370+F1399</f>
        <v>2229409</v>
      </c>
      <c r="G1366" s="129"/>
      <c r="H1366" s="129">
        <f>H1380+H1386+H1391+H1395+H1404+H1407+H1429+H1434+H1370+H1399</f>
        <v>22261</v>
      </c>
      <c r="I1366" s="129">
        <f>I1380+I1386+I1391+I1395+I1404+I1407+I1429+I1434+I1370+I1399</f>
        <v>-19485</v>
      </c>
      <c r="J1366" s="129">
        <f>J1380+J1386+J1391+J1395+J1404+J1407+J1429+J1434+J1370+J1399</f>
        <v>214121</v>
      </c>
      <c r="K1366" s="129">
        <f t="shared" si="167"/>
        <v>2446306</v>
      </c>
      <c r="L1366" s="129">
        <f>L1380+L1386+L1391+L1395+L1404+L1407+L1429+L1434+L1370+L1399</f>
        <v>2577565</v>
      </c>
      <c r="M1366" s="129">
        <f t="shared" si="168"/>
        <v>348156</v>
      </c>
      <c r="N1366" s="265">
        <f t="shared" si="169"/>
        <v>0.15616515408343645</v>
      </c>
      <c r="O1366" s="129">
        <f t="shared" si="170"/>
        <v>131259</v>
      </c>
      <c r="P1366" s="265">
        <f t="shared" si="171"/>
        <v>5.3656002151815839E-2</v>
      </c>
    </row>
    <row r="1367" spans="1:16">
      <c r="E1367" s="263"/>
      <c r="F1367" s="136"/>
      <c r="G1367" s="135"/>
      <c r="H1367" s="136"/>
      <c r="I1367" s="136"/>
      <c r="J1367" s="135"/>
      <c r="K1367" s="136">
        <f t="shared" si="167"/>
        <v>0</v>
      </c>
      <c r="L1367" s="136">
        <v>0</v>
      </c>
      <c r="M1367" s="136">
        <f t="shared" si="168"/>
        <v>0</v>
      </c>
      <c r="N1367" s="157"/>
      <c r="O1367" s="136">
        <f t="shared" si="170"/>
        <v>0</v>
      </c>
      <c r="P1367" s="157"/>
    </row>
    <row r="1368" spans="1:16" ht="13.8">
      <c r="A1368" s="77" t="s">
        <v>672</v>
      </c>
      <c r="B1368" s="77" t="s">
        <v>349</v>
      </c>
      <c r="E1368" s="443" t="s">
        <v>103</v>
      </c>
      <c r="F1368" s="444">
        <f>F1369</f>
        <v>212000</v>
      </c>
      <c r="G1368" s="444"/>
      <c r="H1368" s="444">
        <f>H1369</f>
        <v>7000</v>
      </c>
      <c r="I1368" s="444">
        <f>I1369</f>
        <v>3000</v>
      </c>
      <c r="J1368" s="444">
        <f>J1369</f>
        <v>9800</v>
      </c>
      <c r="K1368" s="444">
        <f t="shared" si="167"/>
        <v>231800</v>
      </c>
      <c r="L1368" s="444">
        <f>L1369</f>
        <v>232000</v>
      </c>
      <c r="M1368" s="444">
        <f t="shared" si="168"/>
        <v>20000</v>
      </c>
      <c r="N1368" s="313">
        <f t="shared" si="169"/>
        <v>9.4339622641509441E-2</v>
      </c>
      <c r="O1368" s="444">
        <f t="shared" si="170"/>
        <v>200</v>
      </c>
      <c r="P1368" s="313">
        <f t="shared" si="171"/>
        <v>8.6281276962899055E-4</v>
      </c>
    </row>
    <row r="1369" spans="1:16">
      <c r="C1369" s="537" t="s">
        <v>1001</v>
      </c>
      <c r="D1369" s="537" t="s">
        <v>977</v>
      </c>
      <c r="E1369" s="339" t="s">
        <v>545</v>
      </c>
      <c r="F1369" s="123">
        <v>212000</v>
      </c>
      <c r="G1369" s="123"/>
      <c r="H1369" s="123">
        <f t="shared" ref="H1369:J1370" si="172">H1373</f>
        <v>7000</v>
      </c>
      <c r="I1369" s="123">
        <f t="shared" si="172"/>
        <v>3000</v>
      </c>
      <c r="J1369" s="123">
        <f t="shared" si="172"/>
        <v>9800</v>
      </c>
      <c r="K1369" s="123">
        <f t="shared" si="167"/>
        <v>231800</v>
      </c>
      <c r="L1369" s="123">
        <f>L1373</f>
        <v>232000</v>
      </c>
      <c r="M1369" s="123">
        <f t="shared" si="168"/>
        <v>20000</v>
      </c>
      <c r="N1369" s="160">
        <f t="shared" si="169"/>
        <v>9.4339622641509441E-2</v>
      </c>
      <c r="O1369" s="123">
        <f t="shared" si="170"/>
        <v>200</v>
      </c>
      <c r="P1369" s="160">
        <f t="shared" si="171"/>
        <v>8.6281276962899055E-4</v>
      </c>
    </row>
    <row r="1370" spans="1:16">
      <c r="E1370" s="132" t="s">
        <v>47</v>
      </c>
      <c r="F1370" s="124">
        <v>109695</v>
      </c>
      <c r="G1370" s="124"/>
      <c r="H1370" s="124">
        <f t="shared" si="172"/>
        <v>-3000</v>
      </c>
      <c r="I1370" s="124">
        <f t="shared" si="172"/>
        <v>0</v>
      </c>
      <c r="J1370" s="124">
        <f t="shared" si="172"/>
        <v>7324</v>
      </c>
      <c r="K1370" s="124">
        <f t="shared" si="167"/>
        <v>114019</v>
      </c>
      <c r="L1370" s="124">
        <f>L1374</f>
        <v>113706</v>
      </c>
      <c r="M1370" s="124">
        <f t="shared" si="168"/>
        <v>4011</v>
      </c>
      <c r="N1370" s="270">
        <f t="shared" si="169"/>
        <v>3.6565021195131955E-2</v>
      </c>
      <c r="O1370" s="124">
        <f t="shared" si="170"/>
        <v>-313</v>
      </c>
      <c r="P1370" s="270">
        <f t="shared" si="171"/>
        <v>-2.7451565090028853E-3</v>
      </c>
    </row>
    <row r="1371" spans="1:16">
      <c r="E1371" s="132"/>
      <c r="F1371" s="124"/>
      <c r="G1371" s="124"/>
      <c r="H1371" s="124"/>
      <c r="I1371" s="124"/>
      <c r="J1371" s="124"/>
      <c r="K1371" s="124">
        <f t="shared" si="167"/>
        <v>0</v>
      </c>
      <c r="L1371" s="124">
        <v>0</v>
      </c>
      <c r="M1371" s="124">
        <f t="shared" si="168"/>
        <v>0</v>
      </c>
      <c r="N1371" s="270"/>
      <c r="O1371" s="124">
        <f t="shared" si="170"/>
        <v>0</v>
      </c>
      <c r="P1371" s="270"/>
    </row>
    <row r="1372" spans="1:16">
      <c r="E1372" s="348" t="s">
        <v>859</v>
      </c>
      <c r="F1372" s="353"/>
      <c r="G1372" s="135"/>
      <c r="H1372" s="135"/>
      <c r="I1372" s="136"/>
      <c r="J1372" s="135"/>
      <c r="K1372" s="124">
        <f t="shared" si="167"/>
        <v>0</v>
      </c>
      <c r="L1372" s="353">
        <v>0</v>
      </c>
      <c r="M1372" s="353">
        <f t="shared" si="168"/>
        <v>0</v>
      </c>
      <c r="N1372" s="287"/>
      <c r="O1372" s="353">
        <f t="shared" si="170"/>
        <v>0</v>
      </c>
      <c r="P1372" s="287"/>
    </row>
    <row r="1373" spans="1:16">
      <c r="E1373" s="349" t="s">
        <v>872</v>
      </c>
      <c r="F1373" s="136">
        <v>212000</v>
      </c>
      <c r="G1373" s="136"/>
      <c r="H1373" s="136">
        <v>7000</v>
      </c>
      <c r="I1373" s="136">
        <v>3000</v>
      </c>
      <c r="J1373" s="136">
        <v>9800</v>
      </c>
      <c r="K1373" s="136">
        <f t="shared" si="167"/>
        <v>231800</v>
      </c>
      <c r="L1373" s="136">
        <v>232000</v>
      </c>
      <c r="M1373" s="136">
        <f t="shared" si="168"/>
        <v>20000</v>
      </c>
      <c r="N1373" s="157">
        <f t="shared" si="169"/>
        <v>9.4339622641509441E-2</v>
      </c>
      <c r="O1373" s="136">
        <f t="shared" si="170"/>
        <v>200</v>
      </c>
      <c r="P1373" s="157">
        <f t="shared" si="171"/>
        <v>8.6281276962899055E-4</v>
      </c>
    </row>
    <row r="1374" spans="1:16">
      <c r="E1374" s="350" t="s">
        <v>47</v>
      </c>
      <c r="F1374" s="124">
        <v>109695</v>
      </c>
      <c r="G1374" s="124"/>
      <c r="H1374" s="124">
        <v>-3000</v>
      </c>
      <c r="I1374" s="124"/>
      <c r="J1374" s="124">
        <v>7324</v>
      </c>
      <c r="K1374" s="124">
        <f t="shared" si="167"/>
        <v>114019</v>
      </c>
      <c r="L1374" s="124">
        <v>113706</v>
      </c>
      <c r="M1374" s="124">
        <f t="shared" si="168"/>
        <v>4011</v>
      </c>
      <c r="N1374" s="270">
        <f t="shared" si="169"/>
        <v>3.6565021195131955E-2</v>
      </c>
      <c r="O1374" s="124">
        <f t="shared" si="170"/>
        <v>-313</v>
      </c>
      <c r="P1374" s="270">
        <f t="shared" si="171"/>
        <v>-2.7451565090028853E-3</v>
      </c>
    </row>
    <row r="1375" spans="1:16">
      <c r="E1375" s="367"/>
      <c r="F1375" s="353"/>
      <c r="G1375" s="135"/>
      <c r="H1375" s="135"/>
      <c r="I1375" s="136"/>
      <c r="J1375" s="135"/>
      <c r="K1375" s="124">
        <f t="shared" si="167"/>
        <v>0</v>
      </c>
      <c r="L1375" s="353">
        <v>0</v>
      </c>
      <c r="M1375" s="353">
        <f t="shared" si="168"/>
        <v>0</v>
      </c>
      <c r="N1375" s="287"/>
      <c r="O1375" s="353">
        <f t="shared" si="170"/>
        <v>0</v>
      </c>
      <c r="P1375" s="287"/>
    </row>
    <row r="1376" spans="1:16" ht="13.8">
      <c r="A1376" s="77" t="s">
        <v>674</v>
      </c>
      <c r="B1376" s="77" t="s">
        <v>349</v>
      </c>
      <c r="E1376" s="443" t="s">
        <v>105</v>
      </c>
      <c r="F1376" s="444">
        <f>F1377</f>
        <v>184586</v>
      </c>
      <c r="G1376" s="135"/>
      <c r="H1376" s="444">
        <f>H1377</f>
        <v>6000</v>
      </c>
      <c r="I1376" s="444">
        <f>I1377</f>
        <v>3000</v>
      </c>
      <c r="J1376" s="444">
        <f>J1377</f>
        <v>10343</v>
      </c>
      <c r="K1376" s="444">
        <f t="shared" si="167"/>
        <v>203929</v>
      </c>
      <c r="L1376" s="444">
        <f>L1377</f>
        <v>209000</v>
      </c>
      <c r="M1376" s="444">
        <f t="shared" si="168"/>
        <v>24414</v>
      </c>
      <c r="N1376" s="313">
        <f t="shared" si="169"/>
        <v>0.13226355194868517</v>
      </c>
      <c r="O1376" s="444">
        <f t="shared" si="170"/>
        <v>5071</v>
      </c>
      <c r="P1376" s="313">
        <f t="shared" si="171"/>
        <v>2.4866497653595124E-2</v>
      </c>
    </row>
    <row r="1377" spans="1:16">
      <c r="C1377" s="537" t="s">
        <v>957</v>
      </c>
      <c r="D1377" s="537" t="s">
        <v>1022</v>
      </c>
      <c r="E1377" s="449" t="s">
        <v>106</v>
      </c>
      <c r="F1377" s="419">
        <f>F1379</f>
        <v>184586</v>
      </c>
      <c r="G1377" s="135"/>
      <c r="H1377" s="419">
        <f>H1379</f>
        <v>6000</v>
      </c>
      <c r="I1377" s="419">
        <f>I1379</f>
        <v>3000</v>
      </c>
      <c r="J1377" s="419">
        <f>J1379</f>
        <v>10343</v>
      </c>
      <c r="K1377" s="419">
        <f t="shared" si="167"/>
        <v>203929</v>
      </c>
      <c r="L1377" s="419">
        <f>L1379</f>
        <v>209000</v>
      </c>
      <c r="M1377" s="419">
        <f t="shared" si="168"/>
        <v>24414</v>
      </c>
      <c r="N1377" s="370">
        <f t="shared" si="169"/>
        <v>0.13226355194868517</v>
      </c>
      <c r="O1377" s="419">
        <f t="shared" si="170"/>
        <v>5071</v>
      </c>
      <c r="P1377" s="370">
        <f t="shared" si="171"/>
        <v>2.4866497653595124E-2</v>
      </c>
    </row>
    <row r="1378" spans="1:16">
      <c r="E1378" s="450" t="s">
        <v>101</v>
      </c>
      <c r="F1378" s="127"/>
      <c r="G1378" s="135"/>
      <c r="H1378" s="127"/>
      <c r="I1378" s="127"/>
      <c r="J1378" s="135"/>
      <c r="K1378" s="127">
        <f t="shared" si="167"/>
        <v>0</v>
      </c>
      <c r="L1378" s="127">
        <v>0</v>
      </c>
      <c r="M1378" s="127">
        <f t="shared" si="168"/>
        <v>0</v>
      </c>
      <c r="N1378" s="160"/>
      <c r="O1378" s="127">
        <f t="shared" si="170"/>
        <v>0</v>
      </c>
      <c r="P1378" s="160"/>
    </row>
    <row r="1379" spans="1:16">
      <c r="E1379" s="336" t="s">
        <v>546</v>
      </c>
      <c r="F1379" s="268">
        <v>184586</v>
      </c>
      <c r="G1379" s="268"/>
      <c r="H1379" s="268">
        <v>6000</v>
      </c>
      <c r="I1379" s="268">
        <v>3000</v>
      </c>
      <c r="J1379" s="268">
        <v>10343</v>
      </c>
      <c r="K1379" s="268">
        <f t="shared" si="167"/>
        <v>203929</v>
      </c>
      <c r="L1379" s="268">
        <v>209000</v>
      </c>
      <c r="M1379" s="268">
        <f t="shared" si="168"/>
        <v>24414</v>
      </c>
      <c r="N1379" s="157">
        <f t="shared" si="169"/>
        <v>0.13226355194868517</v>
      </c>
      <c r="O1379" s="268">
        <f t="shared" si="170"/>
        <v>5071</v>
      </c>
      <c r="P1379" s="157">
        <f t="shared" si="171"/>
        <v>2.4866497653595124E-2</v>
      </c>
    </row>
    <row r="1380" spans="1:16">
      <c r="E1380" s="323" t="s">
        <v>47</v>
      </c>
      <c r="F1380" s="124">
        <v>85163</v>
      </c>
      <c r="G1380" s="124"/>
      <c r="H1380" s="124"/>
      <c r="I1380" s="124"/>
      <c r="J1380" s="124">
        <v>7731</v>
      </c>
      <c r="K1380" s="124">
        <f t="shared" si="167"/>
        <v>92894</v>
      </c>
      <c r="L1380" s="124">
        <v>93918</v>
      </c>
      <c r="M1380" s="124">
        <f t="shared" si="168"/>
        <v>8755</v>
      </c>
      <c r="N1380" s="270">
        <f t="shared" si="169"/>
        <v>0.10280286039712082</v>
      </c>
      <c r="O1380" s="124">
        <f t="shared" si="170"/>
        <v>1024</v>
      </c>
      <c r="P1380" s="270">
        <f t="shared" si="171"/>
        <v>1.1023316898830926E-2</v>
      </c>
    </row>
    <row r="1381" spans="1:16">
      <c r="E1381" s="451"/>
      <c r="F1381" s="124"/>
      <c r="G1381" s="135"/>
      <c r="H1381" s="135"/>
      <c r="I1381" s="136"/>
      <c r="J1381" s="135"/>
      <c r="K1381" s="124">
        <f t="shared" si="167"/>
        <v>0</v>
      </c>
      <c r="L1381" s="124">
        <v>0</v>
      </c>
      <c r="M1381" s="124">
        <f t="shared" si="168"/>
        <v>0</v>
      </c>
      <c r="N1381" s="270"/>
      <c r="O1381" s="124">
        <f t="shared" si="170"/>
        <v>0</v>
      </c>
      <c r="P1381" s="270"/>
    </row>
    <row r="1382" spans="1:16" ht="13.8">
      <c r="A1382" s="77" t="s">
        <v>675</v>
      </c>
      <c r="B1382" s="77" t="s">
        <v>349</v>
      </c>
      <c r="E1382" s="443" t="s">
        <v>108</v>
      </c>
      <c r="F1382" s="444">
        <f>F1388+F1383</f>
        <v>724000</v>
      </c>
      <c r="G1382" s="135"/>
      <c r="H1382" s="444">
        <f>H1388+H1383</f>
        <v>-3881</v>
      </c>
      <c r="I1382" s="444">
        <f>I1388+I1383</f>
        <v>-5000</v>
      </c>
      <c r="J1382" s="444">
        <f>J1388+J1383</f>
        <v>44900</v>
      </c>
      <c r="K1382" s="444">
        <f t="shared" si="167"/>
        <v>760019</v>
      </c>
      <c r="L1382" s="444">
        <f>L1388+L1383</f>
        <v>780500</v>
      </c>
      <c r="M1382" s="444">
        <f t="shared" si="168"/>
        <v>56500</v>
      </c>
      <c r="N1382" s="313">
        <f t="shared" si="169"/>
        <v>7.8038674033149166E-2</v>
      </c>
      <c r="O1382" s="444">
        <f t="shared" si="170"/>
        <v>20481</v>
      </c>
      <c r="P1382" s="313">
        <f t="shared" si="171"/>
        <v>2.6948010510263559E-2</v>
      </c>
    </row>
    <row r="1383" spans="1:16">
      <c r="C1383" s="537" t="s">
        <v>1029</v>
      </c>
      <c r="D1383" s="537" t="s">
        <v>952</v>
      </c>
      <c r="E1383" s="314" t="s">
        <v>119</v>
      </c>
      <c r="F1383" s="127">
        <f>F1385</f>
        <v>70000</v>
      </c>
      <c r="G1383" s="135"/>
      <c r="H1383" s="127">
        <f>H1385</f>
        <v>0</v>
      </c>
      <c r="I1383" s="127">
        <f t="shared" ref="I1383" si="173">I1385</f>
        <v>0</v>
      </c>
      <c r="J1383" s="127">
        <f>J1385</f>
        <v>3821</v>
      </c>
      <c r="K1383" s="127">
        <f t="shared" si="167"/>
        <v>73821</v>
      </c>
      <c r="L1383" s="127">
        <f t="shared" ref="L1383" si="174">L1385</f>
        <v>84000</v>
      </c>
      <c r="M1383" s="127">
        <f t="shared" si="168"/>
        <v>14000</v>
      </c>
      <c r="N1383" s="160">
        <f t="shared" si="169"/>
        <v>0.2</v>
      </c>
      <c r="O1383" s="127">
        <f t="shared" si="170"/>
        <v>10179</v>
      </c>
      <c r="P1383" s="160">
        <f t="shared" si="171"/>
        <v>0.13788759296135247</v>
      </c>
    </row>
    <row r="1384" spans="1:16">
      <c r="E1384" s="450" t="s">
        <v>101</v>
      </c>
      <c r="F1384" s="127"/>
      <c r="G1384" s="135"/>
      <c r="H1384" s="127"/>
      <c r="I1384" s="127"/>
      <c r="J1384" s="135"/>
      <c r="K1384" s="127">
        <f t="shared" si="167"/>
        <v>0</v>
      </c>
      <c r="L1384" s="127">
        <v>0</v>
      </c>
      <c r="M1384" s="127">
        <f t="shared" si="168"/>
        <v>0</v>
      </c>
      <c r="N1384" s="160"/>
      <c r="O1384" s="127">
        <f t="shared" si="170"/>
        <v>0</v>
      </c>
      <c r="P1384" s="160"/>
    </row>
    <row r="1385" spans="1:16">
      <c r="E1385" s="336" t="s">
        <v>938</v>
      </c>
      <c r="F1385" s="268">
        <v>70000</v>
      </c>
      <c r="G1385" s="268"/>
      <c r="H1385" s="268">
        <v>0</v>
      </c>
      <c r="I1385" s="268"/>
      <c r="J1385" s="268">
        <v>3821</v>
      </c>
      <c r="K1385" s="268">
        <f t="shared" si="167"/>
        <v>73821</v>
      </c>
      <c r="L1385" s="268">
        <v>84000</v>
      </c>
      <c r="M1385" s="268">
        <f t="shared" si="168"/>
        <v>14000</v>
      </c>
      <c r="N1385" s="157">
        <f t="shared" si="169"/>
        <v>0.2</v>
      </c>
      <c r="O1385" s="268">
        <f t="shared" si="170"/>
        <v>10179</v>
      </c>
      <c r="P1385" s="157">
        <f t="shared" si="171"/>
        <v>0.13788759296135247</v>
      </c>
    </row>
    <row r="1386" spans="1:16">
      <c r="E1386" s="323" t="s">
        <v>47</v>
      </c>
      <c r="F1386" s="124">
        <v>44400</v>
      </c>
      <c r="G1386" s="124"/>
      <c r="H1386" s="124">
        <v>-2700</v>
      </c>
      <c r="I1386" s="124"/>
      <c r="J1386" s="124">
        <v>2856</v>
      </c>
      <c r="K1386" s="124">
        <f t="shared" si="167"/>
        <v>44556</v>
      </c>
      <c r="L1386" s="124">
        <v>54430</v>
      </c>
      <c r="M1386" s="124">
        <f t="shared" si="168"/>
        <v>10030</v>
      </c>
      <c r="N1386" s="270">
        <f t="shared" si="169"/>
        <v>0.2259009009009009</v>
      </c>
      <c r="O1386" s="124">
        <f t="shared" si="170"/>
        <v>9874</v>
      </c>
      <c r="P1386" s="270">
        <f t="shared" si="171"/>
        <v>0.22160876200736151</v>
      </c>
    </row>
    <row r="1387" spans="1:16">
      <c r="E1387" s="393"/>
      <c r="F1387" s="321"/>
      <c r="G1387" s="135"/>
      <c r="H1387" s="135"/>
      <c r="I1387" s="136"/>
      <c r="J1387" s="135"/>
      <c r="K1387" s="321">
        <f t="shared" si="167"/>
        <v>0</v>
      </c>
      <c r="L1387" s="321">
        <v>0</v>
      </c>
      <c r="M1387" s="321">
        <f t="shared" si="168"/>
        <v>0</v>
      </c>
      <c r="N1387" s="322"/>
      <c r="O1387" s="321">
        <f t="shared" si="170"/>
        <v>0</v>
      </c>
      <c r="P1387" s="322"/>
    </row>
    <row r="1388" spans="1:16" ht="26.4">
      <c r="C1388" s="537" t="s">
        <v>1029</v>
      </c>
      <c r="D1388" s="537" t="s">
        <v>982</v>
      </c>
      <c r="E1388" s="449" t="s">
        <v>167</v>
      </c>
      <c r="F1388" s="419">
        <f>F1390+F1394</f>
        <v>654000</v>
      </c>
      <c r="G1388" s="135"/>
      <c r="H1388" s="419">
        <f>H1390+H1394</f>
        <v>-3881</v>
      </c>
      <c r="I1388" s="419">
        <f>I1390+I1394</f>
        <v>-5000</v>
      </c>
      <c r="J1388" s="419">
        <f>J1390+J1394</f>
        <v>41079</v>
      </c>
      <c r="K1388" s="419">
        <f t="shared" si="167"/>
        <v>686198</v>
      </c>
      <c r="L1388" s="419">
        <f>L1390+L1394</f>
        <v>696500</v>
      </c>
      <c r="M1388" s="419">
        <f t="shared" si="168"/>
        <v>42500</v>
      </c>
      <c r="N1388" s="370">
        <f t="shared" si="169"/>
        <v>6.4984709480122319E-2</v>
      </c>
      <c r="O1388" s="419">
        <f t="shared" si="170"/>
        <v>10302</v>
      </c>
      <c r="P1388" s="370">
        <f t="shared" si="171"/>
        <v>1.5013159467092588E-2</v>
      </c>
    </row>
    <row r="1389" spans="1:16">
      <c r="E1389" s="450" t="s">
        <v>101</v>
      </c>
      <c r="F1389" s="127"/>
      <c r="G1389" s="135"/>
      <c r="H1389" s="127"/>
      <c r="I1389" s="127"/>
      <c r="J1389" s="135"/>
      <c r="K1389" s="127">
        <f t="shared" si="167"/>
        <v>0</v>
      </c>
      <c r="L1389" s="127">
        <v>0</v>
      </c>
      <c r="M1389" s="127">
        <f t="shared" si="168"/>
        <v>0</v>
      </c>
      <c r="N1389" s="160"/>
      <c r="O1389" s="127">
        <f t="shared" si="170"/>
        <v>0</v>
      </c>
      <c r="P1389" s="160"/>
    </row>
    <row r="1390" spans="1:16">
      <c r="E1390" s="336" t="s">
        <v>547</v>
      </c>
      <c r="F1390" s="268">
        <v>368000</v>
      </c>
      <c r="G1390" s="135"/>
      <c r="H1390" s="268">
        <v>10819</v>
      </c>
      <c r="I1390" s="268">
        <v>4640</v>
      </c>
      <c r="J1390" s="268">
        <v>18834</v>
      </c>
      <c r="K1390" s="268">
        <f t="shared" si="167"/>
        <v>402293</v>
      </c>
      <c r="L1390" s="268">
        <v>422500</v>
      </c>
      <c r="M1390" s="268">
        <f t="shared" si="168"/>
        <v>54500</v>
      </c>
      <c r="N1390" s="157">
        <f t="shared" si="169"/>
        <v>0.14809782608695651</v>
      </c>
      <c r="O1390" s="268">
        <f t="shared" si="170"/>
        <v>20207</v>
      </c>
      <c r="P1390" s="157">
        <f t="shared" si="171"/>
        <v>5.0229559052730223E-2</v>
      </c>
    </row>
    <row r="1391" spans="1:16">
      <c r="E1391" s="323" t="s">
        <v>47</v>
      </c>
      <c r="F1391" s="124">
        <v>198088</v>
      </c>
      <c r="G1391" s="135"/>
      <c r="H1391" s="124">
        <v>2868</v>
      </c>
      <c r="I1391" s="124">
        <f>1100*3*1.05</f>
        <v>3465</v>
      </c>
      <c r="J1391" s="124">
        <v>14076</v>
      </c>
      <c r="K1391" s="124">
        <f t="shared" si="167"/>
        <v>218497</v>
      </c>
      <c r="L1391" s="124">
        <v>234100</v>
      </c>
      <c r="M1391" s="124">
        <f t="shared" si="168"/>
        <v>36012</v>
      </c>
      <c r="N1391" s="270">
        <f t="shared" si="169"/>
        <v>0.1817979887726667</v>
      </c>
      <c r="O1391" s="124">
        <f t="shared" si="170"/>
        <v>15603</v>
      </c>
      <c r="P1391" s="270">
        <f t="shared" si="171"/>
        <v>7.141059144976819E-2</v>
      </c>
    </row>
    <row r="1392" spans="1:16">
      <c r="E1392" s="297"/>
      <c r="F1392" s="298"/>
      <c r="G1392" s="135"/>
      <c r="H1392" s="298"/>
      <c r="I1392" s="298"/>
      <c r="J1392" s="298"/>
      <c r="K1392" s="298">
        <f t="shared" si="167"/>
        <v>0</v>
      </c>
      <c r="L1392" s="298">
        <v>0</v>
      </c>
      <c r="M1392" s="298">
        <f t="shared" si="168"/>
        <v>0</v>
      </c>
      <c r="N1392" s="299"/>
      <c r="O1392" s="298">
        <f t="shared" si="170"/>
        <v>0</v>
      </c>
      <c r="P1392" s="299"/>
    </row>
    <row r="1393" spans="1:16">
      <c r="E1393" s="450" t="s">
        <v>101</v>
      </c>
      <c r="F1393" s="127"/>
      <c r="G1393" s="135"/>
      <c r="H1393" s="127"/>
      <c r="I1393" s="127"/>
      <c r="J1393" s="127"/>
      <c r="K1393" s="127">
        <f t="shared" si="167"/>
        <v>0</v>
      </c>
      <c r="L1393" s="127">
        <v>0</v>
      </c>
      <c r="M1393" s="127">
        <f t="shared" si="168"/>
        <v>0</v>
      </c>
      <c r="N1393" s="160"/>
      <c r="O1393" s="127">
        <f t="shared" si="170"/>
        <v>0</v>
      </c>
      <c r="P1393" s="160"/>
    </row>
    <row r="1394" spans="1:16">
      <c r="E1394" s="336" t="s">
        <v>548</v>
      </c>
      <c r="F1394" s="268">
        <v>286000</v>
      </c>
      <c r="G1394" s="135"/>
      <c r="H1394" s="268">
        <v>-14700</v>
      </c>
      <c r="I1394" s="268">
        <v>-9640</v>
      </c>
      <c r="J1394" s="268">
        <v>22245</v>
      </c>
      <c r="K1394" s="268">
        <f t="shared" si="167"/>
        <v>283905</v>
      </c>
      <c r="L1394" s="268">
        <v>274000</v>
      </c>
      <c r="M1394" s="268">
        <f t="shared" si="168"/>
        <v>-12000</v>
      </c>
      <c r="N1394" s="157">
        <f t="shared" si="169"/>
        <v>-4.195804195804196E-2</v>
      </c>
      <c r="O1394" s="268">
        <f t="shared" si="170"/>
        <v>-9905</v>
      </c>
      <c r="P1394" s="157">
        <f t="shared" si="171"/>
        <v>-3.4888430989239355E-2</v>
      </c>
    </row>
    <row r="1395" spans="1:16">
      <c r="E1395" s="323" t="s">
        <v>47</v>
      </c>
      <c r="F1395" s="124">
        <v>212452</v>
      </c>
      <c r="G1395" s="135"/>
      <c r="H1395" s="124">
        <f>-(1100*10)</f>
        <v>-11000</v>
      </c>
      <c r="I1395" s="124">
        <f>-1100*3*1.05-3737</f>
        <v>-7202</v>
      </c>
      <c r="J1395" s="124">
        <v>16626</v>
      </c>
      <c r="K1395" s="124">
        <f t="shared" si="167"/>
        <v>210876</v>
      </c>
      <c r="L1395" s="124">
        <v>203240</v>
      </c>
      <c r="M1395" s="124">
        <f t="shared" si="168"/>
        <v>-9212</v>
      </c>
      <c r="N1395" s="270">
        <f t="shared" si="169"/>
        <v>-4.3360382580535838E-2</v>
      </c>
      <c r="O1395" s="124">
        <f t="shared" si="170"/>
        <v>-7636</v>
      </c>
      <c r="P1395" s="270">
        <f t="shared" si="171"/>
        <v>-3.6210853771884897E-2</v>
      </c>
    </row>
    <row r="1396" spans="1:16">
      <c r="E1396" s="60"/>
      <c r="F1396" s="76"/>
      <c r="G1396" s="135"/>
      <c r="H1396" s="135"/>
      <c r="I1396" s="136"/>
      <c r="J1396" s="135"/>
      <c r="K1396" s="76">
        <f t="shared" si="167"/>
        <v>0</v>
      </c>
      <c r="L1396" s="76">
        <v>0</v>
      </c>
      <c r="M1396" s="76">
        <f t="shared" si="168"/>
        <v>0</v>
      </c>
      <c r="N1396" s="100"/>
      <c r="O1396" s="76">
        <f t="shared" si="170"/>
        <v>0</v>
      </c>
      <c r="P1396" s="100"/>
    </row>
    <row r="1397" spans="1:16" ht="13.8">
      <c r="A1397" s="77" t="s">
        <v>679</v>
      </c>
      <c r="B1397" s="77" t="s">
        <v>349</v>
      </c>
      <c r="E1397" s="443" t="s">
        <v>163</v>
      </c>
      <c r="F1397" s="444">
        <f>F1398</f>
        <v>1175500</v>
      </c>
      <c r="G1397" s="135"/>
      <c r="H1397" s="444">
        <f>H1398</f>
        <v>-15000</v>
      </c>
      <c r="I1397" s="444">
        <f>I1398</f>
        <v>-212000</v>
      </c>
      <c r="J1397" s="135"/>
      <c r="K1397" s="444">
        <f t="shared" si="167"/>
        <v>948500</v>
      </c>
      <c r="L1397" s="444">
        <f>L1398</f>
        <v>1040500</v>
      </c>
      <c r="M1397" s="444">
        <f t="shared" si="168"/>
        <v>-135000</v>
      </c>
      <c r="N1397" s="313">
        <f t="shared" si="169"/>
        <v>-0.11484474691620587</v>
      </c>
      <c r="O1397" s="444">
        <f t="shared" si="170"/>
        <v>92000</v>
      </c>
      <c r="P1397" s="313">
        <f t="shared" si="171"/>
        <v>9.6995255666842389E-2</v>
      </c>
    </row>
    <row r="1398" spans="1:16">
      <c r="C1398" s="537" t="s">
        <v>1021</v>
      </c>
      <c r="D1398" s="537" t="s">
        <v>949</v>
      </c>
      <c r="E1398" s="339" t="s">
        <v>164</v>
      </c>
      <c r="F1398" s="123">
        <v>1175500</v>
      </c>
      <c r="G1398" s="135"/>
      <c r="H1398" s="123">
        <v>-15000</v>
      </c>
      <c r="I1398" s="123">
        <f>-154000-58000</f>
        <v>-212000</v>
      </c>
      <c r="J1398" s="135"/>
      <c r="K1398" s="123">
        <f t="shared" si="167"/>
        <v>948500</v>
      </c>
      <c r="L1398" s="123">
        <v>1040500</v>
      </c>
      <c r="M1398" s="123">
        <f t="shared" si="168"/>
        <v>-135000</v>
      </c>
      <c r="N1398" s="160">
        <f t="shared" si="169"/>
        <v>-0.11484474691620587</v>
      </c>
      <c r="O1398" s="123">
        <f t="shared" si="170"/>
        <v>92000</v>
      </c>
      <c r="P1398" s="160">
        <f t="shared" si="171"/>
        <v>9.6995255666842389E-2</v>
      </c>
    </row>
    <row r="1399" spans="1:16">
      <c r="E1399" s="132" t="s">
        <v>47</v>
      </c>
      <c r="F1399" s="124">
        <v>9100</v>
      </c>
      <c r="G1399" s="135"/>
      <c r="H1399" s="135"/>
      <c r="I1399" s="124">
        <v>1900</v>
      </c>
      <c r="J1399" s="135"/>
      <c r="K1399" s="124">
        <f t="shared" si="167"/>
        <v>11000</v>
      </c>
      <c r="L1399" s="124">
        <v>9800</v>
      </c>
      <c r="M1399" s="124">
        <f t="shared" si="168"/>
        <v>700</v>
      </c>
      <c r="N1399" s="270">
        <f t="shared" si="169"/>
        <v>7.6923076923076927E-2</v>
      </c>
      <c r="O1399" s="124">
        <f t="shared" si="170"/>
        <v>-1200</v>
      </c>
      <c r="P1399" s="270">
        <f t="shared" si="171"/>
        <v>-0.10909090909090909</v>
      </c>
    </row>
    <row r="1400" spans="1:16">
      <c r="E1400" s="367"/>
      <c r="F1400" s="353"/>
      <c r="G1400" s="135"/>
      <c r="H1400" s="135"/>
      <c r="I1400" s="136"/>
      <c r="J1400" s="135"/>
      <c r="K1400" s="353">
        <f t="shared" si="167"/>
        <v>0</v>
      </c>
      <c r="L1400" s="353">
        <v>0</v>
      </c>
      <c r="M1400" s="353">
        <f t="shared" si="168"/>
        <v>0</v>
      </c>
      <c r="N1400" s="287"/>
      <c r="O1400" s="353">
        <f t="shared" si="170"/>
        <v>0</v>
      </c>
      <c r="P1400" s="287"/>
    </row>
    <row r="1401" spans="1:16">
      <c r="E1401" s="426" t="s">
        <v>102</v>
      </c>
      <c r="F1401" s="427">
        <f>F1403+F1406+F1414+F1416+F1418+F1420+F1422+F1424+F1426+F1428+F1433+F1410+F1431+F1432+F1439</f>
        <v>4095700</v>
      </c>
      <c r="G1401" s="135"/>
      <c r="H1401" s="427">
        <f t="shared" ref="H1401" si="175">H1403+H1406+H1414+H1416+H1418+H1420+H1422+H1424+H1426+H1428+H1433+H1410+H1431+H1432+H1439</f>
        <v>273913</v>
      </c>
      <c r="I1401" s="427">
        <f>I1403+I1406+I1410+I1414+I1416+I1418+I1420+I1422+I1424+I1426+I1428+I1431+I1439</f>
        <v>294822</v>
      </c>
      <c r="J1401" s="427">
        <f>J1403+J1406+J1414+J1416+J1418+J1420+J1422+J1424+J1426+J1428+J1433+J1410+J1431+J1432+J1439</f>
        <v>221450</v>
      </c>
      <c r="K1401" s="427">
        <f t="shared" si="167"/>
        <v>4885885</v>
      </c>
      <c r="L1401" s="427">
        <f>L1403+L1406+L1410+L1414+L1416+L1418+L1420+L1422+L1424+L1426+L1428+L1431+L1439+L1412</f>
        <v>4678287</v>
      </c>
      <c r="M1401" s="427">
        <f t="shared" si="168"/>
        <v>582587</v>
      </c>
      <c r="N1401" s="370">
        <f t="shared" si="169"/>
        <v>0.1422435725272847</v>
      </c>
      <c r="O1401" s="427">
        <f t="shared" si="170"/>
        <v>-207598</v>
      </c>
      <c r="P1401" s="370">
        <f t="shared" si="171"/>
        <v>-4.2489334071514166E-2</v>
      </c>
    </row>
    <row r="1402" spans="1:16">
      <c r="E1402" s="426"/>
      <c r="F1402" s="427"/>
      <c r="G1402" s="135"/>
      <c r="H1402" s="135"/>
      <c r="I1402" s="136"/>
      <c r="J1402" s="135"/>
      <c r="K1402" s="427">
        <f t="shared" si="167"/>
        <v>0</v>
      </c>
      <c r="L1402" s="427">
        <v>0</v>
      </c>
      <c r="M1402" s="427">
        <f t="shared" si="168"/>
        <v>0</v>
      </c>
      <c r="N1402" s="370"/>
      <c r="O1402" s="427">
        <f t="shared" si="170"/>
        <v>0</v>
      </c>
      <c r="P1402" s="370"/>
    </row>
    <row r="1403" spans="1:16">
      <c r="A1403" s="77" t="s">
        <v>670</v>
      </c>
      <c r="B1403" s="77" t="s">
        <v>349</v>
      </c>
      <c r="C1403" s="537"/>
      <c r="D1403" s="537"/>
      <c r="E1403" s="267" t="s">
        <v>168</v>
      </c>
      <c r="F1403" s="268">
        <v>2373000</v>
      </c>
      <c r="G1403" s="135"/>
      <c r="H1403" s="268">
        <v>34913</v>
      </c>
      <c r="I1403" s="268">
        <f>6882+22640</f>
        <v>29522</v>
      </c>
      <c r="J1403" s="268">
        <v>210613</v>
      </c>
      <c r="K1403" s="268">
        <f t="shared" si="167"/>
        <v>2648048</v>
      </c>
      <c r="L1403" s="268">
        <v>2771787</v>
      </c>
      <c r="M1403" s="268">
        <f t="shared" si="168"/>
        <v>398787</v>
      </c>
      <c r="N1403" s="157">
        <f t="shared" si="169"/>
        <v>0.16805183312262958</v>
      </c>
      <c r="O1403" s="268">
        <f t="shared" si="170"/>
        <v>123739</v>
      </c>
      <c r="P1403" s="157">
        <f t="shared" si="171"/>
        <v>4.6728382567083379E-2</v>
      </c>
    </row>
    <row r="1404" spans="1:16">
      <c r="E1404" s="130" t="s">
        <v>47</v>
      </c>
      <c r="F1404" s="124">
        <v>1432158</v>
      </c>
      <c r="G1404" s="135"/>
      <c r="H1404" s="124">
        <v>26093</v>
      </c>
      <c r="I1404" s="124">
        <f>-39745+16920</f>
        <v>-22825</v>
      </c>
      <c r="J1404" s="124">
        <v>157409</v>
      </c>
      <c r="K1404" s="124">
        <f t="shared" si="167"/>
        <v>1592835</v>
      </c>
      <c r="L1404" s="124">
        <v>1729327</v>
      </c>
      <c r="M1404" s="124">
        <f t="shared" si="168"/>
        <v>297169</v>
      </c>
      <c r="N1404" s="270">
        <f t="shared" si="169"/>
        <v>0.20749735713517642</v>
      </c>
      <c r="O1404" s="124">
        <f t="shared" si="170"/>
        <v>136492</v>
      </c>
      <c r="P1404" s="270">
        <f t="shared" si="171"/>
        <v>8.5691236066510343E-2</v>
      </c>
    </row>
    <row r="1405" spans="1:16">
      <c r="E1405" s="271"/>
      <c r="F1405" s="128"/>
      <c r="G1405" s="135"/>
      <c r="H1405" s="135"/>
      <c r="I1405" s="136"/>
      <c r="J1405" s="135"/>
      <c r="K1405" s="128">
        <f t="shared" si="167"/>
        <v>0</v>
      </c>
      <c r="L1405" s="128">
        <v>0</v>
      </c>
      <c r="M1405" s="128">
        <f t="shared" si="168"/>
        <v>0</v>
      </c>
      <c r="N1405" s="91"/>
      <c r="O1405" s="128">
        <f t="shared" si="170"/>
        <v>0</v>
      </c>
      <c r="P1405" s="91"/>
    </row>
    <row r="1406" spans="1:16">
      <c r="A1406" s="77" t="s">
        <v>672</v>
      </c>
      <c r="B1406" s="77" t="s">
        <v>349</v>
      </c>
      <c r="C1406" s="537" t="s">
        <v>1001</v>
      </c>
      <c r="D1406" s="537" t="s">
        <v>947</v>
      </c>
      <c r="E1406" s="290" t="s">
        <v>387</v>
      </c>
      <c r="F1406" s="291">
        <v>565000</v>
      </c>
      <c r="G1406" s="135"/>
      <c r="H1406" s="291">
        <v>112000</v>
      </c>
      <c r="I1406" s="291">
        <v>106000</v>
      </c>
      <c r="J1406" s="135"/>
      <c r="K1406" s="291">
        <f t="shared" si="167"/>
        <v>783000</v>
      </c>
      <c r="L1406" s="291">
        <v>650000</v>
      </c>
      <c r="M1406" s="291">
        <f t="shared" si="168"/>
        <v>85000</v>
      </c>
      <c r="N1406" s="282">
        <f t="shared" si="169"/>
        <v>0.15044247787610621</v>
      </c>
      <c r="O1406" s="291">
        <f t="shared" si="170"/>
        <v>-133000</v>
      </c>
      <c r="P1406" s="282">
        <f t="shared" si="171"/>
        <v>-0.16985951468710089</v>
      </c>
    </row>
    <row r="1407" spans="1:16">
      <c r="E1407" s="294" t="s">
        <v>47</v>
      </c>
      <c r="F1407" s="125">
        <v>15000</v>
      </c>
      <c r="G1407" s="135"/>
      <c r="H1407" s="125">
        <v>10000</v>
      </c>
      <c r="I1407" s="125">
        <f>-823+6000</f>
        <v>5177</v>
      </c>
      <c r="J1407" s="135"/>
      <c r="K1407" s="125">
        <f t="shared" si="167"/>
        <v>30177</v>
      </c>
      <c r="L1407" s="125">
        <v>25000</v>
      </c>
      <c r="M1407" s="125">
        <f t="shared" si="168"/>
        <v>10000</v>
      </c>
      <c r="N1407" s="284">
        <f t="shared" si="169"/>
        <v>0.66666666666666663</v>
      </c>
      <c r="O1407" s="125">
        <f t="shared" si="170"/>
        <v>-5177</v>
      </c>
      <c r="P1407" s="284">
        <f t="shared" si="171"/>
        <v>-0.17155449514530935</v>
      </c>
    </row>
    <row r="1408" spans="1:16">
      <c r="E1408" s="452" t="s">
        <v>237</v>
      </c>
      <c r="F1408" s="304">
        <v>275000</v>
      </c>
      <c r="G1408" s="135"/>
      <c r="H1408" s="304">
        <v>32000</v>
      </c>
      <c r="I1408" s="304">
        <v>10900</v>
      </c>
      <c r="J1408" s="135"/>
      <c r="K1408" s="304">
        <f t="shared" si="167"/>
        <v>317900</v>
      </c>
      <c r="L1408" s="304">
        <v>320000</v>
      </c>
      <c r="M1408" s="304">
        <f t="shared" si="168"/>
        <v>45000</v>
      </c>
      <c r="N1408" s="305">
        <f t="shared" si="169"/>
        <v>0.16363636363636364</v>
      </c>
      <c r="O1408" s="304">
        <f t="shared" si="170"/>
        <v>2100</v>
      </c>
      <c r="P1408" s="305">
        <f t="shared" si="171"/>
        <v>6.6058508965083362E-3</v>
      </c>
    </row>
    <row r="1409" spans="1:16">
      <c r="E1409" s="294"/>
      <c r="F1409" s="125"/>
      <c r="G1409" s="135"/>
      <c r="H1409" s="135"/>
      <c r="I1409" s="136"/>
      <c r="J1409" s="135"/>
      <c r="K1409" s="125">
        <f t="shared" si="167"/>
        <v>0</v>
      </c>
      <c r="L1409" s="125">
        <v>0</v>
      </c>
      <c r="M1409" s="125">
        <f t="shared" si="168"/>
        <v>0</v>
      </c>
      <c r="N1409" s="284"/>
      <c r="O1409" s="125">
        <f t="shared" si="170"/>
        <v>0</v>
      </c>
      <c r="P1409" s="284"/>
    </row>
    <row r="1410" spans="1:16">
      <c r="A1410" s="77" t="s">
        <v>672</v>
      </c>
      <c r="B1410" s="77" t="s">
        <v>349</v>
      </c>
      <c r="C1410" s="537" t="s">
        <v>1001</v>
      </c>
      <c r="D1410" s="537" t="s">
        <v>947</v>
      </c>
      <c r="E1410" s="290" t="s">
        <v>141</v>
      </c>
      <c r="F1410" s="291">
        <v>20000</v>
      </c>
      <c r="G1410" s="135"/>
      <c r="H1410" s="135"/>
      <c r="I1410" s="136">
        <v>-4000</v>
      </c>
      <c r="J1410" s="135"/>
      <c r="K1410" s="291">
        <f t="shared" si="167"/>
        <v>16000</v>
      </c>
      <c r="L1410" s="291">
        <v>15000</v>
      </c>
      <c r="M1410" s="291">
        <f t="shared" si="168"/>
        <v>-5000</v>
      </c>
      <c r="N1410" s="282">
        <f t="shared" si="169"/>
        <v>-0.25</v>
      </c>
      <c r="O1410" s="291">
        <f t="shared" si="170"/>
        <v>-1000</v>
      </c>
      <c r="P1410" s="282">
        <f t="shared" si="171"/>
        <v>-6.25E-2</v>
      </c>
    </row>
    <row r="1411" spans="1:16">
      <c r="E1411" s="294"/>
      <c r="F1411" s="125"/>
      <c r="G1411" s="135"/>
      <c r="H1411" s="135"/>
      <c r="I1411" s="136"/>
      <c r="J1411" s="135"/>
      <c r="K1411" s="125">
        <f t="shared" si="167"/>
        <v>0</v>
      </c>
      <c r="L1411" s="125">
        <v>0</v>
      </c>
      <c r="M1411" s="125">
        <f t="shared" si="168"/>
        <v>0</v>
      </c>
      <c r="N1411" s="284"/>
      <c r="O1411" s="125">
        <f t="shared" si="170"/>
        <v>0</v>
      </c>
      <c r="P1411" s="284"/>
    </row>
    <row r="1412" spans="1:16">
      <c r="A1412" s="77" t="s">
        <v>659</v>
      </c>
      <c r="B1412" s="77" t="s">
        <v>349</v>
      </c>
      <c r="E1412" s="290" t="s">
        <v>1196</v>
      </c>
      <c r="F1412" s="125"/>
      <c r="G1412" s="135"/>
      <c r="H1412" s="135"/>
      <c r="I1412" s="136"/>
      <c r="J1412" s="135"/>
      <c r="K1412" s="125">
        <f t="shared" si="167"/>
        <v>0</v>
      </c>
      <c r="L1412" s="291">
        <v>5000</v>
      </c>
      <c r="M1412" s="291">
        <f t="shared" si="168"/>
        <v>5000</v>
      </c>
      <c r="N1412" s="282"/>
      <c r="O1412" s="291">
        <f t="shared" si="170"/>
        <v>5000</v>
      </c>
      <c r="P1412" s="282"/>
    </row>
    <row r="1413" spans="1:16">
      <c r="E1413" s="294"/>
      <c r="F1413" s="125"/>
      <c r="G1413" s="135"/>
      <c r="H1413" s="135"/>
      <c r="I1413" s="136"/>
      <c r="J1413" s="135"/>
      <c r="K1413" s="125">
        <f t="shared" si="167"/>
        <v>0</v>
      </c>
      <c r="L1413" s="125">
        <v>0</v>
      </c>
      <c r="M1413" s="125">
        <f t="shared" si="168"/>
        <v>0</v>
      </c>
      <c r="N1413" s="284"/>
      <c r="O1413" s="125">
        <f t="shared" si="170"/>
        <v>0</v>
      </c>
      <c r="P1413" s="284"/>
    </row>
    <row r="1414" spans="1:16">
      <c r="A1414" s="77" t="s">
        <v>675</v>
      </c>
      <c r="B1414" s="77" t="s">
        <v>349</v>
      </c>
      <c r="C1414" s="537" t="s">
        <v>1029</v>
      </c>
      <c r="D1414" s="537" t="s">
        <v>1010</v>
      </c>
      <c r="E1414" s="290" t="s">
        <v>169</v>
      </c>
      <c r="F1414" s="291">
        <v>60000</v>
      </c>
      <c r="G1414" s="135"/>
      <c r="H1414" s="135"/>
      <c r="I1414" s="136"/>
      <c r="J1414" s="135"/>
      <c r="K1414" s="291">
        <f t="shared" si="167"/>
        <v>60000</v>
      </c>
      <c r="L1414" s="291">
        <v>60000</v>
      </c>
      <c r="M1414" s="291">
        <f t="shared" si="168"/>
        <v>0</v>
      </c>
      <c r="N1414" s="282">
        <f t="shared" si="169"/>
        <v>0</v>
      </c>
      <c r="O1414" s="291">
        <f t="shared" si="170"/>
        <v>0</v>
      </c>
      <c r="P1414" s="282">
        <f t="shared" si="171"/>
        <v>0</v>
      </c>
    </row>
    <row r="1415" spans="1:16">
      <c r="E1415" s="104"/>
      <c r="F1415" s="136"/>
      <c r="G1415" s="135"/>
      <c r="H1415" s="135"/>
      <c r="I1415" s="136"/>
      <c r="J1415" s="135"/>
      <c r="K1415" s="136">
        <f t="shared" si="167"/>
        <v>0</v>
      </c>
      <c r="L1415" s="136">
        <v>0</v>
      </c>
      <c r="M1415" s="136">
        <f t="shared" si="168"/>
        <v>0</v>
      </c>
      <c r="N1415" s="157"/>
      <c r="O1415" s="136">
        <f t="shared" si="170"/>
        <v>0</v>
      </c>
      <c r="P1415" s="157"/>
    </row>
    <row r="1416" spans="1:16">
      <c r="A1416" s="77" t="s">
        <v>675</v>
      </c>
      <c r="B1416" s="77" t="s">
        <v>349</v>
      </c>
      <c r="C1416" s="537" t="s">
        <v>1029</v>
      </c>
      <c r="D1416" s="537" t="s">
        <v>1010</v>
      </c>
      <c r="E1416" s="104" t="s">
        <v>238</v>
      </c>
      <c r="F1416" s="136">
        <v>4500</v>
      </c>
      <c r="G1416" s="135"/>
      <c r="H1416" s="135"/>
      <c r="I1416" s="136">
        <v>5000</v>
      </c>
      <c r="J1416" s="135"/>
      <c r="K1416" s="136">
        <f t="shared" ref="K1416:K1479" si="176">F1416+G1416+H1416+J1416+I1416</f>
        <v>9500</v>
      </c>
      <c r="L1416" s="136">
        <v>4500</v>
      </c>
      <c r="M1416" s="136">
        <f t="shared" ref="M1416:M1479" si="177">L1416-F1416</f>
        <v>0</v>
      </c>
      <c r="N1416" s="157">
        <f t="shared" ref="N1416:N1479" si="178">M1416/F1416</f>
        <v>0</v>
      </c>
      <c r="O1416" s="136">
        <f t="shared" ref="O1416:O1479" si="179">L1416-K1416</f>
        <v>-5000</v>
      </c>
      <c r="P1416" s="157">
        <f t="shared" ref="P1416:P1479" si="180">O1416/K1416</f>
        <v>-0.52631578947368418</v>
      </c>
    </row>
    <row r="1417" spans="1:16">
      <c r="E1417" s="271"/>
      <c r="F1417" s="128"/>
      <c r="G1417" s="135"/>
      <c r="H1417" s="135"/>
      <c r="I1417" s="136"/>
      <c r="J1417" s="135"/>
      <c r="K1417" s="128">
        <f t="shared" si="176"/>
        <v>0</v>
      </c>
      <c r="L1417" s="128">
        <v>0</v>
      </c>
      <c r="M1417" s="128">
        <f t="shared" si="177"/>
        <v>0</v>
      </c>
      <c r="N1417" s="91"/>
      <c r="O1417" s="128">
        <f t="shared" si="179"/>
        <v>0</v>
      </c>
      <c r="P1417" s="91"/>
    </row>
    <row r="1418" spans="1:16">
      <c r="A1418" s="77" t="s">
        <v>679</v>
      </c>
      <c r="B1418" s="77" t="s">
        <v>349</v>
      </c>
      <c r="C1418" s="537" t="s">
        <v>1021</v>
      </c>
      <c r="D1418" s="537" t="s">
        <v>1007</v>
      </c>
      <c r="E1418" s="290" t="s">
        <v>165</v>
      </c>
      <c r="F1418" s="291">
        <v>135000</v>
      </c>
      <c r="G1418" s="135"/>
      <c r="H1418" s="291">
        <v>15000</v>
      </c>
      <c r="I1418" s="291">
        <v>30000</v>
      </c>
      <c r="J1418" s="135"/>
      <c r="K1418" s="291">
        <f t="shared" si="176"/>
        <v>180000</v>
      </c>
      <c r="L1418" s="291">
        <v>120000</v>
      </c>
      <c r="M1418" s="291">
        <f t="shared" si="177"/>
        <v>-15000</v>
      </c>
      <c r="N1418" s="282">
        <f t="shared" si="178"/>
        <v>-0.1111111111111111</v>
      </c>
      <c r="O1418" s="291">
        <f t="shared" si="179"/>
        <v>-60000</v>
      </c>
      <c r="P1418" s="282">
        <f t="shared" si="180"/>
        <v>-0.33333333333333331</v>
      </c>
    </row>
    <row r="1419" spans="1:16">
      <c r="E1419" s="290"/>
      <c r="F1419" s="291"/>
      <c r="G1419" s="135"/>
      <c r="H1419" s="291"/>
      <c r="I1419" s="291"/>
      <c r="J1419" s="135"/>
      <c r="K1419" s="291">
        <f t="shared" si="176"/>
        <v>0</v>
      </c>
      <c r="L1419" s="291">
        <v>0</v>
      </c>
      <c r="M1419" s="291">
        <f t="shared" si="177"/>
        <v>0</v>
      </c>
      <c r="N1419" s="282"/>
      <c r="O1419" s="291">
        <f t="shared" si="179"/>
        <v>0</v>
      </c>
      <c r="P1419" s="282"/>
    </row>
    <row r="1420" spans="1:16">
      <c r="A1420" s="77" t="s">
        <v>679</v>
      </c>
      <c r="B1420" s="77" t="s">
        <v>349</v>
      </c>
      <c r="C1420" s="537" t="s">
        <v>1021</v>
      </c>
      <c r="D1420" s="537" t="s">
        <v>1007</v>
      </c>
      <c r="E1420" s="290" t="s">
        <v>170</v>
      </c>
      <c r="F1420" s="291">
        <v>18000</v>
      </c>
      <c r="G1420" s="135"/>
      <c r="H1420" s="291"/>
      <c r="I1420" s="291"/>
      <c r="J1420" s="135"/>
      <c r="K1420" s="291">
        <f t="shared" si="176"/>
        <v>18000</v>
      </c>
      <c r="L1420" s="291">
        <v>18000</v>
      </c>
      <c r="M1420" s="291">
        <f t="shared" si="177"/>
        <v>0</v>
      </c>
      <c r="N1420" s="282">
        <f t="shared" si="178"/>
        <v>0</v>
      </c>
      <c r="O1420" s="291">
        <f t="shared" si="179"/>
        <v>0</v>
      </c>
      <c r="P1420" s="282">
        <f t="shared" si="180"/>
        <v>0</v>
      </c>
    </row>
    <row r="1421" spans="1:16">
      <c r="E1421" s="290"/>
      <c r="F1421" s="291"/>
      <c r="G1421" s="135"/>
      <c r="H1421" s="291"/>
      <c r="I1421" s="291"/>
      <c r="J1421" s="135"/>
      <c r="K1421" s="291">
        <f t="shared" si="176"/>
        <v>0</v>
      </c>
      <c r="L1421" s="291">
        <v>0</v>
      </c>
      <c r="M1421" s="291">
        <f t="shared" si="177"/>
        <v>0</v>
      </c>
      <c r="N1421" s="282"/>
      <c r="O1421" s="291">
        <f t="shared" si="179"/>
        <v>0</v>
      </c>
      <c r="P1421" s="282"/>
    </row>
    <row r="1422" spans="1:16">
      <c r="A1422" s="77" t="s">
        <v>678</v>
      </c>
      <c r="B1422" s="77" t="s">
        <v>349</v>
      </c>
      <c r="C1422" s="537" t="s">
        <v>1028</v>
      </c>
      <c r="D1422" s="537" t="s">
        <v>966</v>
      </c>
      <c r="E1422" s="273" t="s">
        <v>171</v>
      </c>
      <c r="F1422" s="131">
        <v>47500</v>
      </c>
      <c r="G1422" s="135"/>
      <c r="H1422" s="131"/>
      <c r="I1422" s="131">
        <v>5000</v>
      </c>
      <c r="J1422" s="135"/>
      <c r="K1422" s="131">
        <f t="shared" si="176"/>
        <v>52500</v>
      </c>
      <c r="L1422" s="131">
        <v>53000</v>
      </c>
      <c r="M1422" s="131">
        <f t="shared" si="177"/>
        <v>5500</v>
      </c>
      <c r="N1422" s="157">
        <f t="shared" si="178"/>
        <v>0.11578947368421053</v>
      </c>
      <c r="O1422" s="131">
        <f t="shared" si="179"/>
        <v>500</v>
      </c>
      <c r="P1422" s="157">
        <f t="shared" si="180"/>
        <v>9.5238095238095247E-3</v>
      </c>
    </row>
    <row r="1423" spans="1:16">
      <c r="E1423" s="147"/>
      <c r="F1423" s="136"/>
      <c r="G1423" s="135"/>
      <c r="H1423" s="136"/>
      <c r="I1423" s="136"/>
      <c r="J1423" s="135"/>
      <c r="K1423" s="136">
        <f t="shared" si="176"/>
        <v>0</v>
      </c>
      <c r="L1423" s="136">
        <v>0</v>
      </c>
      <c r="M1423" s="136">
        <f t="shared" si="177"/>
        <v>0</v>
      </c>
      <c r="N1423" s="157"/>
      <c r="O1423" s="136">
        <f t="shared" si="179"/>
        <v>0</v>
      </c>
      <c r="P1423" s="157"/>
    </row>
    <row r="1424" spans="1:16">
      <c r="A1424" s="77" t="s">
        <v>678</v>
      </c>
      <c r="B1424" s="77" t="s">
        <v>349</v>
      </c>
      <c r="C1424" s="537" t="s">
        <v>1028</v>
      </c>
      <c r="D1424" s="537" t="s">
        <v>966</v>
      </c>
      <c r="E1424" s="273" t="s">
        <v>154</v>
      </c>
      <c r="F1424" s="131">
        <v>435500</v>
      </c>
      <c r="G1424" s="135"/>
      <c r="H1424" s="131">
        <v>80000</v>
      </c>
      <c r="I1424" s="131">
        <f>82000+25000</f>
        <v>107000</v>
      </c>
      <c r="J1424" s="135"/>
      <c r="K1424" s="131">
        <f t="shared" si="176"/>
        <v>622500</v>
      </c>
      <c r="L1424" s="131">
        <v>526000</v>
      </c>
      <c r="M1424" s="131">
        <f t="shared" si="177"/>
        <v>90500</v>
      </c>
      <c r="N1424" s="157">
        <f t="shared" si="178"/>
        <v>0.20780711825487944</v>
      </c>
      <c r="O1424" s="131">
        <f t="shared" si="179"/>
        <v>-96500</v>
      </c>
      <c r="P1424" s="157">
        <f t="shared" si="180"/>
        <v>-0.15502008032128514</v>
      </c>
    </row>
    <row r="1425" spans="1:16">
      <c r="E1425" s="104"/>
      <c r="F1425" s="136"/>
      <c r="G1425" s="135"/>
      <c r="H1425" s="135"/>
      <c r="I1425" s="291"/>
      <c r="J1425" s="135"/>
      <c r="K1425" s="136">
        <f t="shared" si="176"/>
        <v>0</v>
      </c>
      <c r="L1425" s="136">
        <v>0</v>
      </c>
      <c r="M1425" s="136">
        <f t="shared" si="177"/>
        <v>0</v>
      </c>
      <c r="N1425" s="157"/>
      <c r="O1425" s="136">
        <f t="shared" si="179"/>
        <v>0</v>
      </c>
      <c r="P1425" s="157"/>
    </row>
    <row r="1426" spans="1:16">
      <c r="A1426" s="77" t="s">
        <v>690</v>
      </c>
      <c r="B1426" s="77" t="s">
        <v>349</v>
      </c>
      <c r="C1426" s="537" t="s">
        <v>987</v>
      </c>
      <c r="D1426" s="537" t="s">
        <v>961</v>
      </c>
      <c r="E1426" s="290" t="s">
        <v>239</v>
      </c>
      <c r="F1426" s="291">
        <v>9000</v>
      </c>
      <c r="G1426" s="135"/>
      <c r="H1426" s="135"/>
      <c r="I1426" s="291"/>
      <c r="J1426" s="135"/>
      <c r="K1426" s="291">
        <f t="shared" si="176"/>
        <v>9000</v>
      </c>
      <c r="L1426" s="291">
        <v>0</v>
      </c>
      <c r="M1426" s="291">
        <f t="shared" si="177"/>
        <v>-9000</v>
      </c>
      <c r="N1426" s="282">
        <f t="shared" si="178"/>
        <v>-1</v>
      </c>
      <c r="O1426" s="291">
        <f t="shared" si="179"/>
        <v>-9000</v>
      </c>
      <c r="P1426" s="282">
        <f t="shared" si="180"/>
        <v>-1</v>
      </c>
    </row>
    <row r="1427" spans="1:16">
      <c r="E1427" s="290"/>
      <c r="F1427" s="291"/>
      <c r="G1427" s="135"/>
      <c r="H1427" s="135"/>
      <c r="I1427" s="136"/>
      <c r="J1427" s="135"/>
      <c r="K1427" s="291">
        <f t="shared" si="176"/>
        <v>0</v>
      </c>
      <c r="L1427" s="291">
        <v>0</v>
      </c>
      <c r="M1427" s="291">
        <f t="shared" si="177"/>
        <v>0</v>
      </c>
      <c r="N1427" s="282"/>
      <c r="O1427" s="291">
        <f t="shared" si="179"/>
        <v>0</v>
      </c>
      <c r="P1427" s="282"/>
    </row>
    <row r="1428" spans="1:16">
      <c r="A1428" s="77" t="s">
        <v>678</v>
      </c>
      <c r="B1428" s="77" t="s">
        <v>349</v>
      </c>
      <c r="C1428" s="537" t="s">
        <v>1028</v>
      </c>
      <c r="D1428" s="537" t="s">
        <v>966</v>
      </c>
      <c r="E1428" s="290" t="s">
        <v>549</v>
      </c>
      <c r="F1428" s="291">
        <v>345000</v>
      </c>
      <c r="G1428" s="135"/>
      <c r="H1428" s="131">
        <v>37000</v>
      </c>
      <c r="I1428" s="291">
        <v>26300</v>
      </c>
      <c r="J1428" s="291">
        <v>10837</v>
      </c>
      <c r="K1428" s="291">
        <f t="shared" si="176"/>
        <v>419137</v>
      </c>
      <c r="L1428" s="291">
        <v>416000</v>
      </c>
      <c r="M1428" s="291">
        <f t="shared" si="177"/>
        <v>71000</v>
      </c>
      <c r="N1428" s="282">
        <f t="shared" si="178"/>
        <v>0.20579710144927535</v>
      </c>
      <c r="O1428" s="291">
        <f t="shared" si="179"/>
        <v>-3137</v>
      </c>
      <c r="P1428" s="282">
        <f t="shared" si="180"/>
        <v>-7.4844263331559852E-3</v>
      </c>
    </row>
    <row r="1429" spans="1:16">
      <c r="E1429" s="294" t="s">
        <v>47</v>
      </c>
      <c r="F1429" s="125">
        <v>104153</v>
      </c>
      <c r="G1429" s="135"/>
      <c r="H1429" s="135"/>
      <c r="I1429" s="136"/>
      <c r="J1429" s="125">
        <v>8099</v>
      </c>
      <c r="K1429" s="125">
        <f t="shared" si="176"/>
        <v>112252</v>
      </c>
      <c r="L1429" s="125">
        <v>114044</v>
      </c>
      <c r="M1429" s="125">
        <f t="shared" si="177"/>
        <v>9891</v>
      </c>
      <c r="N1429" s="284">
        <f t="shared" si="178"/>
        <v>9.4966059547012566E-2</v>
      </c>
      <c r="O1429" s="125">
        <f t="shared" si="179"/>
        <v>1792</v>
      </c>
      <c r="P1429" s="284">
        <f t="shared" si="180"/>
        <v>1.5964080818159143E-2</v>
      </c>
    </row>
    <row r="1430" spans="1:16">
      <c r="E1430" s="339"/>
      <c r="F1430" s="123"/>
      <c r="G1430" s="135"/>
      <c r="H1430" s="135"/>
      <c r="I1430" s="136"/>
      <c r="J1430" s="135"/>
      <c r="K1430" s="123">
        <f t="shared" si="176"/>
        <v>0</v>
      </c>
      <c r="L1430" s="123">
        <v>0</v>
      </c>
      <c r="M1430" s="123">
        <f t="shared" si="177"/>
        <v>0</v>
      </c>
      <c r="N1430" s="160"/>
      <c r="O1430" s="123">
        <f t="shared" si="179"/>
        <v>0</v>
      </c>
      <c r="P1430" s="160"/>
    </row>
    <row r="1431" spans="1:16">
      <c r="A1431" s="77" t="s">
        <v>679</v>
      </c>
      <c r="B1431" s="77" t="s">
        <v>349</v>
      </c>
      <c r="C1431" s="537" t="s">
        <v>1028</v>
      </c>
      <c r="D1431" s="537" t="s">
        <v>966</v>
      </c>
      <c r="E1431" s="290" t="s">
        <v>550</v>
      </c>
      <c r="F1431" s="291">
        <v>31000</v>
      </c>
      <c r="G1431" s="135"/>
      <c r="H1431" s="135"/>
      <c r="I1431" s="136"/>
      <c r="J1431" s="135"/>
      <c r="K1431" s="291">
        <f t="shared" si="176"/>
        <v>31000</v>
      </c>
      <c r="L1431" s="291">
        <v>31000</v>
      </c>
      <c r="M1431" s="291">
        <f t="shared" si="177"/>
        <v>0</v>
      </c>
      <c r="N1431" s="282">
        <f t="shared" si="178"/>
        <v>0</v>
      </c>
      <c r="O1431" s="291">
        <f t="shared" si="179"/>
        <v>0</v>
      </c>
      <c r="P1431" s="282">
        <f t="shared" si="180"/>
        <v>0</v>
      </c>
    </row>
    <row r="1432" spans="1:16">
      <c r="E1432" s="339"/>
      <c r="F1432" s="123"/>
      <c r="G1432" s="135"/>
      <c r="H1432" s="135"/>
      <c r="I1432" s="136"/>
      <c r="J1432" s="135"/>
      <c r="K1432" s="123">
        <f t="shared" si="176"/>
        <v>0</v>
      </c>
      <c r="L1432" s="123">
        <v>0</v>
      </c>
      <c r="M1432" s="123">
        <f t="shared" si="177"/>
        <v>0</v>
      </c>
      <c r="N1432" s="160"/>
      <c r="O1432" s="123">
        <f t="shared" si="179"/>
        <v>0</v>
      </c>
      <c r="P1432" s="160"/>
    </row>
    <row r="1433" spans="1:16" s="77" customFormat="1" ht="39.6">
      <c r="A1433" s="77" t="s">
        <v>672</v>
      </c>
      <c r="B1433" s="77" t="s">
        <v>349</v>
      </c>
      <c r="C1433" s="537"/>
      <c r="D1433" s="537"/>
      <c r="E1433" s="290" t="s">
        <v>551</v>
      </c>
      <c r="F1433" s="291">
        <v>32200</v>
      </c>
      <c r="G1433" s="135"/>
      <c r="H1433" s="135"/>
      <c r="I1433" s="136"/>
      <c r="J1433" s="135"/>
      <c r="K1433" s="291">
        <f t="shared" si="176"/>
        <v>32200</v>
      </c>
      <c r="L1433" s="291">
        <v>0</v>
      </c>
      <c r="M1433" s="291">
        <f t="shared" si="177"/>
        <v>-32200</v>
      </c>
      <c r="N1433" s="282">
        <f t="shared" si="178"/>
        <v>-1</v>
      </c>
      <c r="O1433" s="291">
        <f t="shared" si="179"/>
        <v>-32200</v>
      </c>
      <c r="P1433" s="282">
        <f t="shared" si="180"/>
        <v>-1</v>
      </c>
    </row>
    <row r="1434" spans="1:16">
      <c r="E1434" s="294" t="s">
        <v>47</v>
      </c>
      <c r="F1434" s="125">
        <v>19200</v>
      </c>
      <c r="G1434" s="135"/>
      <c r="H1434" s="135"/>
      <c r="I1434" s="136"/>
      <c r="J1434" s="135"/>
      <c r="K1434" s="125">
        <f t="shared" si="176"/>
        <v>19200</v>
      </c>
      <c r="L1434" s="125">
        <v>0</v>
      </c>
      <c r="M1434" s="125">
        <f t="shared" si="177"/>
        <v>-19200</v>
      </c>
      <c r="N1434" s="284">
        <f t="shared" si="178"/>
        <v>-1</v>
      </c>
      <c r="O1434" s="125">
        <f t="shared" si="179"/>
        <v>-19200</v>
      </c>
      <c r="P1434" s="284">
        <f t="shared" si="180"/>
        <v>-1</v>
      </c>
    </row>
    <row r="1435" spans="1:16">
      <c r="E1435" s="285"/>
      <c r="F1435" s="286"/>
      <c r="G1435" s="135"/>
      <c r="H1435" s="135"/>
      <c r="I1435" s="136"/>
      <c r="J1435" s="135"/>
      <c r="K1435" s="286">
        <f t="shared" si="176"/>
        <v>0</v>
      </c>
      <c r="L1435" s="286">
        <v>0</v>
      </c>
      <c r="M1435" s="286">
        <f t="shared" si="177"/>
        <v>0</v>
      </c>
      <c r="N1435" s="287"/>
      <c r="O1435" s="286">
        <f t="shared" si="179"/>
        <v>0</v>
      </c>
      <c r="P1435" s="287"/>
    </row>
    <row r="1436" spans="1:16">
      <c r="E1436" s="307" t="s">
        <v>224</v>
      </c>
      <c r="F1436" s="125">
        <v>27370</v>
      </c>
      <c r="G1436" s="135"/>
      <c r="H1436" s="135"/>
      <c r="I1436" s="136"/>
      <c r="J1436" s="135"/>
      <c r="K1436" s="125">
        <f t="shared" si="176"/>
        <v>27370</v>
      </c>
      <c r="L1436" s="125">
        <v>0</v>
      </c>
      <c r="M1436" s="125">
        <f t="shared" si="177"/>
        <v>-27370</v>
      </c>
      <c r="N1436" s="284">
        <f t="shared" si="178"/>
        <v>-1</v>
      </c>
      <c r="O1436" s="125">
        <f t="shared" si="179"/>
        <v>-27370</v>
      </c>
      <c r="P1436" s="284">
        <f t="shared" si="180"/>
        <v>-1</v>
      </c>
    </row>
    <row r="1437" spans="1:16">
      <c r="E1437" s="307" t="s">
        <v>552</v>
      </c>
      <c r="F1437" s="125">
        <v>4830</v>
      </c>
      <c r="G1437" s="135"/>
      <c r="H1437" s="135"/>
      <c r="I1437" s="136"/>
      <c r="J1437" s="135"/>
      <c r="K1437" s="125">
        <f t="shared" si="176"/>
        <v>4830</v>
      </c>
      <c r="L1437" s="125">
        <v>0</v>
      </c>
      <c r="M1437" s="125">
        <f t="shared" si="177"/>
        <v>-4830</v>
      </c>
      <c r="N1437" s="284">
        <f t="shared" si="178"/>
        <v>-1</v>
      </c>
      <c r="O1437" s="125">
        <f t="shared" si="179"/>
        <v>-4830</v>
      </c>
      <c r="P1437" s="284">
        <f t="shared" si="180"/>
        <v>-1</v>
      </c>
    </row>
    <row r="1438" spans="1:16">
      <c r="E1438" s="307"/>
      <c r="F1438" s="125"/>
      <c r="G1438" s="135"/>
      <c r="H1438" s="135"/>
      <c r="I1438" s="136"/>
      <c r="J1438" s="135"/>
      <c r="K1438" s="125">
        <f t="shared" si="176"/>
        <v>0</v>
      </c>
      <c r="L1438" s="125">
        <v>0</v>
      </c>
      <c r="M1438" s="125">
        <f t="shared" si="177"/>
        <v>0</v>
      </c>
      <c r="N1438" s="284"/>
      <c r="O1438" s="125">
        <f t="shared" si="179"/>
        <v>0</v>
      </c>
      <c r="P1438" s="284"/>
    </row>
    <row r="1439" spans="1:16">
      <c r="A1439" s="77" t="s">
        <v>692</v>
      </c>
      <c r="B1439" s="77" t="s">
        <v>349</v>
      </c>
      <c r="C1439" s="537"/>
      <c r="D1439" s="537"/>
      <c r="E1439" s="273" t="s">
        <v>172</v>
      </c>
      <c r="F1439" s="131">
        <v>20000</v>
      </c>
      <c r="G1439" s="135"/>
      <c r="H1439" s="131">
        <v>-5000</v>
      </c>
      <c r="I1439" s="131">
        <v>-10000</v>
      </c>
      <c r="J1439" s="135"/>
      <c r="K1439" s="131">
        <f t="shared" si="176"/>
        <v>5000</v>
      </c>
      <c r="L1439" s="131">
        <v>8000</v>
      </c>
      <c r="M1439" s="131">
        <f t="shared" si="177"/>
        <v>-12000</v>
      </c>
      <c r="N1439" s="157">
        <f t="shared" si="178"/>
        <v>-0.6</v>
      </c>
      <c r="O1439" s="131">
        <f t="shared" si="179"/>
        <v>3000</v>
      </c>
      <c r="P1439" s="157">
        <f t="shared" si="180"/>
        <v>0.6</v>
      </c>
    </row>
    <row r="1440" spans="1:16">
      <c r="E1440" s="307"/>
      <c r="F1440" s="125"/>
      <c r="G1440" s="135"/>
      <c r="H1440" s="135"/>
      <c r="I1440" s="136"/>
      <c r="J1440" s="135"/>
      <c r="K1440" s="125">
        <f t="shared" si="176"/>
        <v>0</v>
      </c>
      <c r="L1440" s="125">
        <v>0</v>
      </c>
      <c r="M1440" s="125">
        <f t="shared" si="177"/>
        <v>0</v>
      </c>
      <c r="N1440" s="284"/>
      <c r="O1440" s="125">
        <f t="shared" si="179"/>
        <v>0</v>
      </c>
      <c r="P1440" s="284"/>
    </row>
    <row r="1441" spans="1:16">
      <c r="E1441" s="263"/>
      <c r="F1441" s="128"/>
      <c r="G1441" s="135"/>
      <c r="H1441" s="135"/>
      <c r="I1441" s="136"/>
      <c r="J1441" s="135"/>
      <c r="K1441" s="128">
        <f t="shared" si="176"/>
        <v>0</v>
      </c>
      <c r="L1441" s="128">
        <v>0</v>
      </c>
      <c r="M1441" s="128">
        <f t="shared" si="177"/>
        <v>0</v>
      </c>
      <c r="N1441" s="91"/>
      <c r="O1441" s="128">
        <f t="shared" si="179"/>
        <v>0</v>
      </c>
      <c r="P1441" s="91"/>
    </row>
    <row r="1442" spans="1:16" ht="15.6">
      <c r="E1442" s="259" t="s">
        <v>173</v>
      </c>
      <c r="F1442" s="260"/>
      <c r="G1442" s="135"/>
      <c r="H1442" s="135"/>
      <c r="I1442" s="136"/>
      <c r="J1442" s="135"/>
      <c r="K1442" s="260">
        <f t="shared" si="176"/>
        <v>0</v>
      </c>
      <c r="L1442" s="260">
        <v>0</v>
      </c>
      <c r="M1442" s="260">
        <f t="shared" si="177"/>
        <v>0</v>
      </c>
      <c r="N1442" s="275"/>
      <c r="O1442" s="260">
        <f t="shared" si="179"/>
        <v>0</v>
      </c>
      <c r="P1442" s="275"/>
    </row>
    <row r="1443" spans="1:16">
      <c r="E1443" s="147"/>
      <c r="F1443" s="136"/>
      <c r="G1443" s="135"/>
      <c r="H1443" s="135"/>
      <c r="I1443" s="136"/>
      <c r="J1443" s="135"/>
      <c r="K1443" s="136">
        <f t="shared" si="176"/>
        <v>0</v>
      </c>
      <c r="L1443" s="136">
        <v>0</v>
      </c>
      <c r="M1443" s="136">
        <f t="shared" si="177"/>
        <v>0</v>
      </c>
      <c r="N1443" s="157"/>
      <c r="O1443" s="136">
        <f t="shared" si="179"/>
        <v>0</v>
      </c>
      <c r="P1443" s="157"/>
    </row>
    <row r="1444" spans="1:16">
      <c r="E1444" s="261" t="s">
        <v>98</v>
      </c>
      <c r="F1444" s="127">
        <f>F1451+F1457+F1467+F1470</f>
        <v>2844586</v>
      </c>
      <c r="G1444" s="135"/>
      <c r="H1444" s="127">
        <f>H1451+H1457+H1467+H1470</f>
        <v>50972</v>
      </c>
      <c r="I1444" s="127">
        <f>I1451+I1457+I1467+I1470</f>
        <v>25530</v>
      </c>
      <c r="J1444" s="127">
        <f>J1451+J1457+J1467+J1470</f>
        <v>213858</v>
      </c>
      <c r="K1444" s="127">
        <f t="shared" si="176"/>
        <v>3134946</v>
      </c>
      <c r="L1444" s="127">
        <f>L1451+L1457+L1467+L1470</f>
        <v>3141907</v>
      </c>
      <c r="M1444" s="127">
        <f t="shared" si="177"/>
        <v>297321</v>
      </c>
      <c r="N1444" s="160">
        <f t="shared" si="178"/>
        <v>0.10452171247415265</v>
      </c>
      <c r="O1444" s="127">
        <f t="shared" si="179"/>
        <v>6961</v>
      </c>
      <c r="P1444" s="160">
        <f t="shared" si="180"/>
        <v>2.2204529200821961E-3</v>
      </c>
    </row>
    <row r="1445" spans="1:16">
      <c r="E1445" s="262" t="s">
        <v>359</v>
      </c>
      <c r="F1445" s="128">
        <v>60910</v>
      </c>
      <c r="G1445" s="135"/>
      <c r="H1445" s="128"/>
      <c r="I1445" s="128"/>
      <c r="J1445" s="128"/>
      <c r="K1445" s="128">
        <f t="shared" si="176"/>
        <v>60910</v>
      </c>
      <c r="L1445" s="128">
        <v>60910</v>
      </c>
      <c r="M1445" s="128">
        <f t="shared" si="177"/>
        <v>0</v>
      </c>
      <c r="N1445" s="91">
        <f t="shared" si="178"/>
        <v>0</v>
      </c>
      <c r="O1445" s="128">
        <f t="shared" si="179"/>
        <v>0</v>
      </c>
      <c r="P1445" s="91">
        <f t="shared" si="180"/>
        <v>0</v>
      </c>
    </row>
    <row r="1446" spans="1:16">
      <c r="E1446" s="261" t="s">
        <v>44</v>
      </c>
      <c r="F1446" s="127">
        <f>SUM(F1447:F1448)</f>
        <v>2844586</v>
      </c>
      <c r="G1446" s="135"/>
      <c r="H1446" s="127">
        <f>SUM(H1447:H1448)</f>
        <v>50972</v>
      </c>
      <c r="I1446" s="127">
        <f>SUM(I1447:I1448)</f>
        <v>25530</v>
      </c>
      <c r="J1446" s="127">
        <f>SUM(J1447:J1448)</f>
        <v>213858</v>
      </c>
      <c r="K1446" s="127">
        <f t="shared" si="176"/>
        <v>3134946</v>
      </c>
      <c r="L1446" s="127">
        <f>SUM(L1447:L1448)</f>
        <v>3141907</v>
      </c>
      <c r="M1446" s="127">
        <f t="shared" si="177"/>
        <v>297321</v>
      </c>
      <c r="N1446" s="160">
        <f t="shared" si="178"/>
        <v>0.10452171247415265</v>
      </c>
      <c r="O1446" s="127">
        <f t="shared" si="179"/>
        <v>6961</v>
      </c>
      <c r="P1446" s="160">
        <f t="shared" si="180"/>
        <v>2.2204529200821961E-3</v>
      </c>
    </row>
    <row r="1447" spans="1:16">
      <c r="E1447" s="262" t="s">
        <v>45</v>
      </c>
      <c r="F1447" s="128">
        <v>336903</v>
      </c>
      <c r="G1447" s="135"/>
      <c r="H1447" s="128">
        <v>7719</v>
      </c>
      <c r="I1447" s="128">
        <v>11120</v>
      </c>
      <c r="J1447" s="128"/>
      <c r="K1447" s="128">
        <f t="shared" si="176"/>
        <v>355742</v>
      </c>
      <c r="L1447" s="128">
        <v>337676</v>
      </c>
      <c r="M1447" s="128">
        <f t="shared" si="177"/>
        <v>773</v>
      </c>
      <c r="N1447" s="91">
        <f t="shared" si="178"/>
        <v>2.294428960264527E-3</v>
      </c>
      <c r="O1447" s="128">
        <f t="shared" si="179"/>
        <v>-18066</v>
      </c>
      <c r="P1447" s="91">
        <f t="shared" si="180"/>
        <v>-5.0783995142547125E-2</v>
      </c>
    </row>
    <row r="1448" spans="1:16">
      <c r="E1448" s="263" t="s">
        <v>46</v>
      </c>
      <c r="F1448" s="128">
        <f>F1444-F1447</f>
        <v>2507683</v>
      </c>
      <c r="G1448" s="135"/>
      <c r="H1448" s="128">
        <f>H1444-H1447</f>
        <v>43253</v>
      </c>
      <c r="I1448" s="128">
        <f>I1444-I1447</f>
        <v>14410</v>
      </c>
      <c r="J1448" s="128">
        <f>J1444-J1447</f>
        <v>213858</v>
      </c>
      <c r="K1448" s="128">
        <f t="shared" si="176"/>
        <v>2779204</v>
      </c>
      <c r="L1448" s="128">
        <f>L1444-L1447</f>
        <v>2804231</v>
      </c>
      <c r="M1448" s="128">
        <f t="shared" si="177"/>
        <v>296548</v>
      </c>
      <c r="N1448" s="91">
        <f t="shared" si="178"/>
        <v>0.11825577634812694</v>
      </c>
      <c r="O1448" s="128">
        <f t="shared" si="179"/>
        <v>25027</v>
      </c>
      <c r="P1448" s="91">
        <f t="shared" si="180"/>
        <v>9.0050964232924243E-3</v>
      </c>
    </row>
    <row r="1449" spans="1:16" s="10" customFormat="1">
      <c r="A1449" s="135"/>
      <c r="B1449" s="135"/>
      <c r="C1449" s="482"/>
      <c r="D1449" s="482"/>
      <c r="E1449" s="264" t="s">
        <v>718</v>
      </c>
      <c r="F1449" s="129">
        <f>F1455+F1461+F1465+F1473+F1484</f>
        <v>1412504</v>
      </c>
      <c r="G1449" s="129"/>
      <c r="H1449" s="129">
        <f>H1455+H1461+H1465+H1473+H1484</f>
        <v>1684</v>
      </c>
      <c r="I1449" s="129">
        <f>I1455+I1461+I1465+I1473+I1484</f>
        <v>10736</v>
      </c>
      <c r="J1449" s="129">
        <f>J1455+J1461+J1465+J1473+J1484</f>
        <v>159836</v>
      </c>
      <c r="K1449" s="129">
        <f t="shared" si="176"/>
        <v>1584760</v>
      </c>
      <c r="L1449" s="129">
        <f>L1455+L1461+L1465+L1473+L1484</f>
        <v>1651158</v>
      </c>
      <c r="M1449" s="129">
        <f t="shared" si="177"/>
        <v>238654</v>
      </c>
      <c r="N1449" s="265">
        <f t="shared" si="178"/>
        <v>0.16895810560536464</v>
      </c>
      <c r="O1449" s="129">
        <f t="shared" si="179"/>
        <v>66398</v>
      </c>
      <c r="P1449" s="265">
        <f t="shared" si="180"/>
        <v>4.1897826800272597E-2</v>
      </c>
    </row>
    <row r="1450" spans="1:16">
      <c r="E1450" s="10"/>
      <c r="F1450" s="136"/>
      <c r="G1450" s="135"/>
      <c r="H1450" s="135"/>
      <c r="I1450" s="136"/>
      <c r="J1450" s="136"/>
      <c r="K1450" s="136">
        <f t="shared" si="176"/>
        <v>0</v>
      </c>
      <c r="L1450" s="136">
        <v>0</v>
      </c>
      <c r="M1450" s="136">
        <f t="shared" si="177"/>
        <v>0</v>
      </c>
      <c r="N1450" s="157"/>
      <c r="O1450" s="136">
        <f t="shared" si="179"/>
        <v>0</v>
      </c>
      <c r="P1450" s="157"/>
    </row>
    <row r="1451" spans="1:16" ht="13.8">
      <c r="A1451" s="77" t="s">
        <v>674</v>
      </c>
      <c r="B1451" s="77" t="s">
        <v>173</v>
      </c>
      <c r="E1451" s="453" t="s">
        <v>105</v>
      </c>
      <c r="F1451" s="454">
        <f>F1452</f>
        <v>94830</v>
      </c>
      <c r="G1451" s="135"/>
      <c r="H1451" s="454">
        <f>H1452</f>
        <v>1125</v>
      </c>
      <c r="I1451" s="454">
        <f>I1454</f>
        <v>-1375</v>
      </c>
      <c r="J1451" s="454">
        <f>J1452</f>
        <v>6878</v>
      </c>
      <c r="K1451" s="454">
        <f t="shared" si="176"/>
        <v>101458</v>
      </c>
      <c r="L1451" s="454">
        <f>L1454</f>
        <v>102196</v>
      </c>
      <c r="M1451" s="454">
        <f t="shared" si="177"/>
        <v>7366</v>
      </c>
      <c r="N1451" s="424">
        <f t="shared" si="178"/>
        <v>7.7675840978593272E-2</v>
      </c>
      <c r="O1451" s="454">
        <f t="shared" si="179"/>
        <v>738</v>
      </c>
      <c r="P1451" s="424">
        <f t="shared" si="180"/>
        <v>7.2739458692266754E-3</v>
      </c>
    </row>
    <row r="1452" spans="1:16">
      <c r="C1452" s="537" t="s">
        <v>957</v>
      </c>
      <c r="D1452" s="537" t="s">
        <v>1022</v>
      </c>
      <c r="E1452" s="455" t="s">
        <v>106</v>
      </c>
      <c r="F1452" s="456">
        <f>F1454</f>
        <v>94830</v>
      </c>
      <c r="G1452" s="135"/>
      <c r="H1452" s="456">
        <f>H1454</f>
        <v>1125</v>
      </c>
      <c r="I1452" s="456">
        <f>I1455</f>
        <v>0</v>
      </c>
      <c r="J1452" s="456">
        <f>J1454</f>
        <v>6878</v>
      </c>
      <c r="K1452" s="456">
        <f t="shared" si="176"/>
        <v>102833</v>
      </c>
      <c r="L1452" s="456">
        <f>L1455</f>
        <v>61314</v>
      </c>
      <c r="M1452" s="456">
        <f t="shared" si="177"/>
        <v>-33516</v>
      </c>
      <c r="N1452" s="370">
        <f t="shared" si="178"/>
        <v>-0.35343245808288515</v>
      </c>
      <c r="O1452" s="456">
        <f t="shared" si="179"/>
        <v>-41519</v>
      </c>
      <c r="P1452" s="370">
        <f t="shared" si="180"/>
        <v>-0.40375171394396742</v>
      </c>
    </row>
    <row r="1453" spans="1:16">
      <c r="E1453" s="457" t="s">
        <v>101</v>
      </c>
      <c r="F1453" s="456"/>
      <c r="G1453" s="135"/>
      <c r="H1453" s="135"/>
      <c r="I1453" s="136"/>
      <c r="J1453" s="135"/>
      <c r="K1453" s="456">
        <f t="shared" si="176"/>
        <v>0</v>
      </c>
      <c r="L1453" s="456">
        <v>0</v>
      </c>
      <c r="M1453" s="456">
        <f t="shared" si="177"/>
        <v>0</v>
      </c>
      <c r="N1453" s="370"/>
      <c r="O1453" s="456">
        <f t="shared" si="179"/>
        <v>0</v>
      </c>
      <c r="P1453" s="370"/>
    </row>
    <row r="1454" spans="1:16">
      <c r="E1454" s="37" t="s">
        <v>553</v>
      </c>
      <c r="F1454" s="47">
        <v>94830</v>
      </c>
      <c r="G1454" s="135"/>
      <c r="H1454" s="47">
        <v>1125</v>
      </c>
      <c r="I1454" s="47">
        <v>-1375</v>
      </c>
      <c r="J1454" s="47">
        <v>6878</v>
      </c>
      <c r="K1454" s="47">
        <f t="shared" si="176"/>
        <v>101458</v>
      </c>
      <c r="L1454" s="47">
        <v>102196</v>
      </c>
      <c r="M1454" s="47">
        <f t="shared" si="177"/>
        <v>7366</v>
      </c>
      <c r="N1454" s="96">
        <f t="shared" si="178"/>
        <v>7.7675840978593272E-2</v>
      </c>
      <c r="O1454" s="47">
        <f t="shared" si="179"/>
        <v>738</v>
      </c>
      <c r="P1454" s="96">
        <f t="shared" si="180"/>
        <v>7.2739458692266754E-3</v>
      </c>
    </row>
    <row r="1455" spans="1:16">
      <c r="E1455" s="446" t="s">
        <v>47</v>
      </c>
      <c r="F1455" s="125">
        <v>55744</v>
      </c>
      <c r="G1455" s="135"/>
      <c r="H1455" s="135"/>
      <c r="I1455" s="136"/>
      <c r="J1455" s="125">
        <v>5141</v>
      </c>
      <c r="K1455" s="125">
        <f t="shared" si="176"/>
        <v>60885</v>
      </c>
      <c r="L1455" s="125">
        <v>61314</v>
      </c>
      <c r="M1455" s="125">
        <f t="shared" si="177"/>
        <v>5570</v>
      </c>
      <c r="N1455" s="284">
        <f t="shared" si="178"/>
        <v>9.9921067738231922E-2</v>
      </c>
      <c r="O1455" s="125">
        <f t="shared" si="179"/>
        <v>429</v>
      </c>
      <c r="P1455" s="284">
        <f t="shared" si="180"/>
        <v>7.046070460704607E-3</v>
      </c>
    </row>
    <row r="1456" spans="1:16">
      <c r="E1456" s="263"/>
      <c r="F1456" s="128"/>
      <c r="G1456" s="135"/>
      <c r="H1456" s="135"/>
      <c r="I1456" s="136"/>
      <c r="J1456" s="135"/>
      <c r="K1456" s="128">
        <f t="shared" si="176"/>
        <v>0</v>
      </c>
      <c r="L1456" s="128">
        <v>0</v>
      </c>
      <c r="M1456" s="128">
        <f t="shared" si="177"/>
        <v>0</v>
      </c>
      <c r="N1456" s="91"/>
      <c r="O1456" s="128">
        <f t="shared" si="179"/>
        <v>0</v>
      </c>
      <c r="P1456" s="91"/>
    </row>
    <row r="1457" spans="1:16" ht="13.8">
      <c r="A1457" s="77" t="s">
        <v>675</v>
      </c>
      <c r="B1457" s="77" t="s">
        <v>173</v>
      </c>
      <c r="E1457" s="443" t="s">
        <v>108</v>
      </c>
      <c r="F1457" s="444">
        <f>F1458</f>
        <v>714046</v>
      </c>
      <c r="G1457" s="135"/>
      <c r="H1457" s="444">
        <f t="shared" ref="H1457" si="181">H1458</f>
        <v>1000</v>
      </c>
      <c r="I1457" s="444">
        <f>I1458</f>
        <v>1000</v>
      </c>
      <c r="J1457" s="444">
        <f>J1458</f>
        <v>49540</v>
      </c>
      <c r="K1457" s="444">
        <f t="shared" si="176"/>
        <v>765586</v>
      </c>
      <c r="L1457" s="444">
        <f>L1458</f>
        <v>775006</v>
      </c>
      <c r="M1457" s="444">
        <f t="shared" si="177"/>
        <v>60960</v>
      </c>
      <c r="N1457" s="313">
        <f t="shared" si="178"/>
        <v>8.5372651061696309E-2</v>
      </c>
      <c r="O1457" s="444">
        <f t="shared" si="179"/>
        <v>9420</v>
      </c>
      <c r="P1457" s="313">
        <f t="shared" si="180"/>
        <v>1.2304300235375255E-2</v>
      </c>
    </row>
    <row r="1458" spans="1:16" ht="26.4">
      <c r="C1458" s="537" t="s">
        <v>1029</v>
      </c>
      <c r="D1458" s="537" t="s">
        <v>982</v>
      </c>
      <c r="E1458" s="449" t="s">
        <v>167</v>
      </c>
      <c r="F1458" s="419">
        <f>F1460+F1464</f>
        <v>714046</v>
      </c>
      <c r="G1458" s="135"/>
      <c r="H1458" s="419">
        <f t="shared" ref="H1458" si="182">H1460+H1464</f>
        <v>1000</v>
      </c>
      <c r="I1458" s="419">
        <f>I1460+I1464</f>
        <v>1000</v>
      </c>
      <c r="J1458" s="419">
        <f>J1460+J1464</f>
        <v>49540</v>
      </c>
      <c r="K1458" s="419">
        <f t="shared" si="176"/>
        <v>765586</v>
      </c>
      <c r="L1458" s="419">
        <f>L1460+L1464</f>
        <v>775006</v>
      </c>
      <c r="M1458" s="419">
        <f t="shared" si="177"/>
        <v>60960</v>
      </c>
      <c r="N1458" s="370">
        <f t="shared" si="178"/>
        <v>8.5372651061696309E-2</v>
      </c>
      <c r="O1458" s="419">
        <f t="shared" si="179"/>
        <v>9420</v>
      </c>
      <c r="P1458" s="370">
        <f t="shared" si="180"/>
        <v>1.2304300235375255E-2</v>
      </c>
    </row>
    <row r="1459" spans="1:16">
      <c r="E1459" s="450" t="s">
        <v>101</v>
      </c>
      <c r="F1459" s="127"/>
      <c r="G1459" s="135"/>
      <c r="H1459" s="135"/>
      <c r="I1459" s="136"/>
      <c r="J1459" s="135"/>
      <c r="K1459" s="127">
        <f t="shared" si="176"/>
        <v>0</v>
      </c>
      <c r="L1459" s="127">
        <v>0</v>
      </c>
      <c r="M1459" s="127">
        <f t="shared" si="177"/>
        <v>0</v>
      </c>
      <c r="N1459" s="160"/>
      <c r="O1459" s="127">
        <f t="shared" si="179"/>
        <v>0</v>
      </c>
      <c r="P1459" s="160"/>
    </row>
    <row r="1460" spans="1:16">
      <c r="E1460" s="336" t="s">
        <v>554</v>
      </c>
      <c r="F1460" s="268">
        <f>330051+2896</f>
        <v>332947</v>
      </c>
      <c r="G1460" s="135"/>
      <c r="H1460" s="135"/>
      <c r="I1460" s="268">
        <v>1000</v>
      </c>
      <c r="J1460" s="268">
        <v>21972</v>
      </c>
      <c r="K1460" s="268">
        <f t="shared" si="176"/>
        <v>355919</v>
      </c>
      <c r="L1460" s="268">
        <v>359852</v>
      </c>
      <c r="M1460" s="268">
        <f t="shared" si="177"/>
        <v>26905</v>
      </c>
      <c r="N1460" s="157">
        <f t="shared" si="178"/>
        <v>8.0808657233733899E-2</v>
      </c>
      <c r="O1460" s="268">
        <f t="shared" si="179"/>
        <v>3933</v>
      </c>
      <c r="P1460" s="157">
        <f t="shared" si="180"/>
        <v>1.105026705514457E-2</v>
      </c>
    </row>
    <row r="1461" spans="1:16">
      <c r="E1461" s="323" t="s">
        <v>47</v>
      </c>
      <c r="F1461" s="124">
        <f>201442+2165</f>
        <v>203607</v>
      </c>
      <c r="G1461" s="135"/>
      <c r="H1461" s="135"/>
      <c r="I1461" s="136"/>
      <c r="J1461" s="124">
        <v>16422</v>
      </c>
      <c r="K1461" s="124">
        <f t="shared" si="176"/>
        <v>220029</v>
      </c>
      <c r="L1461" s="124">
        <v>223314</v>
      </c>
      <c r="M1461" s="124">
        <f t="shared" si="177"/>
        <v>19707</v>
      </c>
      <c r="N1461" s="270">
        <f t="shared" si="178"/>
        <v>9.6789403114824146E-2</v>
      </c>
      <c r="O1461" s="124">
        <f t="shared" si="179"/>
        <v>3285</v>
      </c>
      <c r="P1461" s="270">
        <f t="shared" si="180"/>
        <v>1.4929850156115785E-2</v>
      </c>
    </row>
    <row r="1462" spans="1:16">
      <c r="E1462" s="297"/>
      <c r="F1462" s="298"/>
      <c r="G1462" s="135"/>
      <c r="H1462" s="135"/>
      <c r="I1462" s="136"/>
      <c r="J1462" s="298"/>
      <c r="K1462" s="298">
        <f t="shared" si="176"/>
        <v>0</v>
      </c>
      <c r="L1462" s="298">
        <v>0</v>
      </c>
      <c r="M1462" s="298">
        <f t="shared" si="177"/>
        <v>0</v>
      </c>
      <c r="N1462" s="299"/>
      <c r="O1462" s="298">
        <f t="shared" si="179"/>
        <v>0</v>
      </c>
      <c r="P1462" s="299"/>
    </row>
    <row r="1463" spans="1:16">
      <c r="E1463" s="450" t="s">
        <v>101</v>
      </c>
      <c r="F1463" s="127"/>
      <c r="G1463" s="135"/>
      <c r="H1463" s="135"/>
      <c r="I1463" s="136"/>
      <c r="J1463" s="127"/>
      <c r="K1463" s="127">
        <f t="shared" si="176"/>
        <v>0</v>
      </c>
      <c r="L1463" s="127">
        <v>0</v>
      </c>
      <c r="M1463" s="127">
        <f t="shared" si="177"/>
        <v>0</v>
      </c>
      <c r="N1463" s="160"/>
      <c r="O1463" s="127">
        <f t="shared" si="179"/>
        <v>0</v>
      </c>
      <c r="P1463" s="160"/>
    </row>
    <row r="1464" spans="1:16">
      <c r="E1464" s="336" t="s">
        <v>555</v>
      </c>
      <c r="F1464" s="268">
        <v>381099</v>
      </c>
      <c r="G1464" s="135"/>
      <c r="H1464" s="268">
        <v>1000</v>
      </c>
      <c r="I1464" s="268"/>
      <c r="J1464" s="268">
        <v>27568</v>
      </c>
      <c r="K1464" s="268">
        <f t="shared" si="176"/>
        <v>409667</v>
      </c>
      <c r="L1464" s="268">
        <v>415154</v>
      </c>
      <c r="M1464" s="268">
        <f t="shared" si="177"/>
        <v>34055</v>
      </c>
      <c r="N1464" s="157">
        <f t="shared" si="178"/>
        <v>8.9359982576705785E-2</v>
      </c>
      <c r="O1464" s="268">
        <f t="shared" si="179"/>
        <v>5487</v>
      </c>
      <c r="P1464" s="157">
        <f t="shared" si="180"/>
        <v>1.3393805212526271E-2</v>
      </c>
    </row>
    <row r="1465" spans="1:16">
      <c r="E1465" s="323" t="s">
        <v>47</v>
      </c>
      <c r="F1465" s="124">
        <v>270720</v>
      </c>
      <c r="G1465" s="135"/>
      <c r="H1465" s="135"/>
      <c r="I1465" s="136"/>
      <c r="J1465" s="124">
        <v>20604</v>
      </c>
      <c r="K1465" s="124">
        <f t="shared" si="176"/>
        <v>291324</v>
      </c>
      <c r="L1465" s="124">
        <v>295445</v>
      </c>
      <c r="M1465" s="124">
        <f t="shared" si="177"/>
        <v>24725</v>
      </c>
      <c r="N1465" s="270">
        <f t="shared" si="178"/>
        <v>9.133052600472813E-2</v>
      </c>
      <c r="O1465" s="124">
        <f t="shared" si="179"/>
        <v>4121</v>
      </c>
      <c r="P1465" s="270">
        <f t="shared" si="180"/>
        <v>1.4145762106795183E-2</v>
      </c>
    </row>
    <row r="1466" spans="1:16">
      <c r="E1466" s="297"/>
      <c r="F1466" s="298"/>
      <c r="G1466" s="135"/>
      <c r="H1466" s="135"/>
      <c r="I1466" s="136"/>
      <c r="J1466" s="135"/>
      <c r="K1466" s="298">
        <f t="shared" si="176"/>
        <v>0</v>
      </c>
      <c r="L1466" s="298">
        <v>0</v>
      </c>
      <c r="M1466" s="298">
        <f t="shared" si="177"/>
        <v>0</v>
      </c>
      <c r="N1466" s="299"/>
      <c r="O1466" s="298">
        <f t="shared" si="179"/>
        <v>0</v>
      </c>
      <c r="P1466" s="299"/>
    </row>
    <row r="1467" spans="1:16" ht="13.8">
      <c r="A1467" s="77" t="s">
        <v>679</v>
      </c>
      <c r="B1467" s="77" t="s">
        <v>173</v>
      </c>
      <c r="E1467" s="443" t="s">
        <v>163</v>
      </c>
      <c r="F1467" s="444">
        <f>F1468</f>
        <v>175252</v>
      </c>
      <c r="G1467" s="135"/>
      <c r="H1467" s="135"/>
      <c r="I1467" s="136"/>
      <c r="J1467" s="135"/>
      <c r="K1467" s="444">
        <f t="shared" si="176"/>
        <v>175252</v>
      </c>
      <c r="L1467" s="444">
        <f>L1468</f>
        <v>175252</v>
      </c>
      <c r="M1467" s="444">
        <f t="shared" si="177"/>
        <v>0</v>
      </c>
      <c r="N1467" s="313">
        <f t="shared" si="178"/>
        <v>0</v>
      </c>
      <c r="O1467" s="444">
        <f t="shared" si="179"/>
        <v>0</v>
      </c>
      <c r="P1467" s="313">
        <f t="shared" si="180"/>
        <v>0</v>
      </c>
    </row>
    <row r="1468" spans="1:16">
      <c r="C1468" s="537" t="s">
        <v>1021</v>
      </c>
      <c r="D1468" s="537" t="s">
        <v>949</v>
      </c>
      <c r="E1468" s="339" t="s">
        <v>164</v>
      </c>
      <c r="F1468" s="123">
        <v>175252</v>
      </c>
      <c r="G1468" s="135"/>
      <c r="H1468" s="135"/>
      <c r="I1468" s="136"/>
      <c r="J1468" s="135"/>
      <c r="K1468" s="123">
        <f t="shared" si="176"/>
        <v>175252</v>
      </c>
      <c r="L1468" s="123">
        <v>175252</v>
      </c>
      <c r="M1468" s="123">
        <f t="shared" si="177"/>
        <v>0</v>
      </c>
      <c r="N1468" s="160">
        <f t="shared" si="178"/>
        <v>0</v>
      </c>
      <c r="O1468" s="123">
        <f t="shared" si="179"/>
        <v>0</v>
      </c>
      <c r="P1468" s="160">
        <f t="shared" si="180"/>
        <v>0</v>
      </c>
    </row>
    <row r="1469" spans="1:16">
      <c r="E1469" s="377"/>
      <c r="F1469" s="128"/>
      <c r="G1469" s="135"/>
      <c r="H1469" s="135"/>
      <c r="I1469" s="136"/>
      <c r="J1469" s="135"/>
      <c r="K1469" s="128">
        <f t="shared" si="176"/>
        <v>0</v>
      </c>
      <c r="L1469" s="128">
        <v>0</v>
      </c>
      <c r="M1469" s="128">
        <f t="shared" si="177"/>
        <v>0</v>
      </c>
      <c r="N1469" s="91"/>
      <c r="O1469" s="128">
        <f t="shared" si="179"/>
        <v>0</v>
      </c>
      <c r="P1469" s="91"/>
    </row>
    <row r="1470" spans="1:16">
      <c r="E1470" s="426" t="s">
        <v>102</v>
      </c>
      <c r="F1470" s="427">
        <f>F1472+F1475+F1479+F1481+F1483+F1486+F1488+F1490+F1477</f>
        <v>1860458</v>
      </c>
      <c r="G1470" s="135"/>
      <c r="H1470" s="427">
        <f>H1472+H1475+H1479+H1481+H1483+H1486+H1488+H1490+H1477</f>
        <v>48847</v>
      </c>
      <c r="I1470" s="427">
        <f>I1472+I1475+I1477+I1479+I1481+I1483+I1486+I1488+I1490</f>
        <v>25905</v>
      </c>
      <c r="J1470" s="427">
        <f>J1472+J1475+J1479+J1481+J1483+J1486+J1488+J1490+J1477</f>
        <v>157440</v>
      </c>
      <c r="K1470" s="427">
        <f t="shared" si="176"/>
        <v>2092650</v>
      </c>
      <c r="L1470" s="427">
        <f>L1472+L1475+L1477+L1479+L1481+L1483+L1486+L1488+L1490</f>
        <v>2089453</v>
      </c>
      <c r="M1470" s="427">
        <f t="shared" si="177"/>
        <v>228995</v>
      </c>
      <c r="N1470" s="370">
        <f t="shared" si="178"/>
        <v>0.12308528330120863</v>
      </c>
      <c r="O1470" s="427">
        <f t="shared" si="179"/>
        <v>-3197</v>
      </c>
      <c r="P1470" s="370">
        <f t="shared" si="180"/>
        <v>-1.5277280003822905E-3</v>
      </c>
    </row>
    <row r="1471" spans="1:16">
      <c r="E1471" s="426"/>
      <c r="F1471" s="427"/>
      <c r="G1471" s="135"/>
      <c r="H1471" s="135"/>
      <c r="I1471" s="427"/>
      <c r="J1471" s="135"/>
      <c r="K1471" s="427">
        <f t="shared" si="176"/>
        <v>0</v>
      </c>
      <c r="L1471" s="427">
        <v>0</v>
      </c>
      <c r="M1471" s="427">
        <f t="shared" si="177"/>
        <v>0</v>
      </c>
      <c r="N1471" s="370"/>
      <c r="O1471" s="427">
        <f t="shared" si="179"/>
        <v>0</v>
      </c>
      <c r="P1471" s="370"/>
    </row>
    <row r="1472" spans="1:16">
      <c r="A1472" s="77" t="s">
        <v>670</v>
      </c>
      <c r="B1472" s="77" t="s">
        <v>173</v>
      </c>
      <c r="C1472" s="537" t="s">
        <v>1034</v>
      </c>
      <c r="D1472" s="537"/>
      <c r="E1472" s="267" t="s">
        <v>168</v>
      </c>
      <c r="F1472" s="268">
        <v>1581937</v>
      </c>
      <c r="G1472" s="135"/>
      <c r="H1472" s="268">
        <f>7847+6000</f>
        <v>13847</v>
      </c>
      <c r="I1472" s="268">
        <v>21255</v>
      </c>
      <c r="J1472" s="268">
        <f>157440-1124</f>
        <v>156316</v>
      </c>
      <c r="K1472" s="268">
        <f t="shared" si="176"/>
        <v>1773355</v>
      </c>
      <c r="L1472" s="268">
        <v>1837140</v>
      </c>
      <c r="M1472" s="268">
        <f t="shared" si="177"/>
        <v>255203</v>
      </c>
      <c r="N1472" s="157">
        <f t="shared" si="178"/>
        <v>0.16132311210876288</v>
      </c>
      <c r="O1472" s="268">
        <f t="shared" si="179"/>
        <v>63785</v>
      </c>
      <c r="P1472" s="157">
        <f t="shared" si="180"/>
        <v>3.5968545497094488E-2</v>
      </c>
    </row>
    <row r="1473" spans="1:16">
      <c r="E1473" s="130" t="s">
        <v>47</v>
      </c>
      <c r="F1473" s="124">
        <v>875425</v>
      </c>
      <c r="G1473" s="135"/>
      <c r="H1473" s="124">
        <v>1684</v>
      </c>
      <c r="I1473" s="124">
        <v>10736</v>
      </c>
      <c r="J1473" s="124">
        <f>117669-840</f>
        <v>116829</v>
      </c>
      <c r="K1473" s="124">
        <f t="shared" si="176"/>
        <v>1004674</v>
      </c>
      <c r="L1473" s="124">
        <f>1061037+2200</f>
        <v>1063237</v>
      </c>
      <c r="M1473" s="124">
        <f t="shared" si="177"/>
        <v>187812</v>
      </c>
      <c r="N1473" s="270">
        <f t="shared" si="178"/>
        <v>0.21453808150326983</v>
      </c>
      <c r="O1473" s="124">
        <f t="shared" si="179"/>
        <v>58563</v>
      </c>
      <c r="P1473" s="270">
        <f t="shared" si="180"/>
        <v>5.8290549969442822E-2</v>
      </c>
    </row>
    <row r="1474" spans="1:16">
      <c r="E1474" s="271"/>
      <c r="F1474" s="128"/>
      <c r="G1474" s="135"/>
      <c r="H1474" s="135"/>
      <c r="I1474" s="136"/>
      <c r="J1474" s="135"/>
      <c r="K1474" s="128">
        <f t="shared" si="176"/>
        <v>0</v>
      </c>
      <c r="L1474" s="128">
        <v>0</v>
      </c>
      <c r="M1474" s="128">
        <f t="shared" si="177"/>
        <v>0</v>
      </c>
      <c r="N1474" s="91"/>
      <c r="O1474" s="128">
        <f t="shared" si="179"/>
        <v>0</v>
      </c>
      <c r="P1474" s="91"/>
    </row>
    <row r="1475" spans="1:16">
      <c r="A1475" s="77" t="s">
        <v>672</v>
      </c>
      <c r="B1475" s="77" t="s">
        <v>173</v>
      </c>
      <c r="C1475" s="537" t="s">
        <v>1001</v>
      </c>
      <c r="D1475" s="537" t="s">
        <v>947</v>
      </c>
      <c r="E1475" s="290" t="s">
        <v>387</v>
      </c>
      <c r="F1475" s="291">
        <v>125630</v>
      </c>
      <c r="G1475" s="135"/>
      <c r="H1475" s="135"/>
      <c r="I1475" s="291">
        <v>-1500</v>
      </c>
      <c r="J1475" s="135"/>
      <c r="K1475" s="291">
        <f t="shared" si="176"/>
        <v>124130</v>
      </c>
      <c r="L1475" s="291">
        <v>107135</v>
      </c>
      <c r="M1475" s="291">
        <f t="shared" si="177"/>
        <v>-18495</v>
      </c>
      <c r="N1475" s="282">
        <f t="shared" si="178"/>
        <v>-0.14721802117328664</v>
      </c>
      <c r="O1475" s="291">
        <f t="shared" si="179"/>
        <v>-16995</v>
      </c>
      <c r="P1475" s="282">
        <f t="shared" si="180"/>
        <v>-0.13691291388060903</v>
      </c>
    </row>
    <row r="1476" spans="1:16">
      <c r="E1476" s="104"/>
      <c r="F1476" s="136"/>
      <c r="G1476" s="135"/>
      <c r="H1476" s="135"/>
      <c r="I1476" s="136"/>
      <c r="J1476" s="135"/>
      <c r="K1476" s="136">
        <f t="shared" si="176"/>
        <v>0</v>
      </c>
      <c r="L1476" s="136">
        <v>0</v>
      </c>
      <c r="M1476" s="136">
        <f t="shared" si="177"/>
        <v>0</v>
      </c>
      <c r="N1476" s="157"/>
      <c r="O1476" s="136">
        <f t="shared" si="179"/>
        <v>0</v>
      </c>
      <c r="P1476" s="157"/>
    </row>
    <row r="1477" spans="1:16">
      <c r="A1477" s="77" t="s">
        <v>672</v>
      </c>
      <c r="B1477" s="77" t="s">
        <v>173</v>
      </c>
      <c r="C1477" s="537" t="s">
        <v>1001</v>
      </c>
      <c r="D1477" s="537" t="s">
        <v>947</v>
      </c>
      <c r="E1477" s="104" t="s">
        <v>141</v>
      </c>
      <c r="F1477" s="136">
        <v>2000</v>
      </c>
      <c r="G1477" s="135"/>
      <c r="H1477" s="135"/>
      <c r="I1477" s="136"/>
      <c r="J1477" s="135"/>
      <c r="K1477" s="136">
        <f t="shared" si="176"/>
        <v>2000</v>
      </c>
      <c r="L1477" s="136">
        <v>2000</v>
      </c>
      <c r="M1477" s="136">
        <f t="shared" si="177"/>
        <v>0</v>
      </c>
      <c r="N1477" s="157">
        <f t="shared" si="178"/>
        <v>0</v>
      </c>
      <c r="O1477" s="136">
        <f t="shared" si="179"/>
        <v>0</v>
      </c>
      <c r="P1477" s="157">
        <f t="shared" si="180"/>
        <v>0</v>
      </c>
    </row>
    <row r="1478" spans="1:16">
      <c r="E1478" s="104"/>
      <c r="F1478" s="136"/>
      <c r="G1478" s="135"/>
      <c r="H1478" s="135"/>
      <c r="I1478" s="136"/>
      <c r="J1478" s="135"/>
      <c r="K1478" s="136">
        <f t="shared" si="176"/>
        <v>0</v>
      </c>
      <c r="L1478" s="136">
        <v>0</v>
      </c>
      <c r="M1478" s="136">
        <f t="shared" si="177"/>
        <v>0</v>
      </c>
      <c r="N1478" s="157"/>
      <c r="O1478" s="136">
        <f t="shared" si="179"/>
        <v>0</v>
      </c>
      <c r="P1478" s="157"/>
    </row>
    <row r="1479" spans="1:16">
      <c r="A1479" s="77" t="s">
        <v>675</v>
      </c>
      <c r="B1479" s="77" t="s">
        <v>173</v>
      </c>
      <c r="C1479" s="537" t="s">
        <v>1029</v>
      </c>
      <c r="D1479" s="537" t="s">
        <v>1010</v>
      </c>
      <c r="E1479" s="290" t="s">
        <v>169</v>
      </c>
      <c r="F1479" s="291">
        <v>33000</v>
      </c>
      <c r="G1479" s="135"/>
      <c r="H1479" s="135"/>
      <c r="I1479" s="136"/>
      <c r="J1479" s="135"/>
      <c r="K1479" s="291">
        <f t="shared" si="176"/>
        <v>33000</v>
      </c>
      <c r="L1479" s="291">
        <v>33000</v>
      </c>
      <c r="M1479" s="291">
        <f t="shared" si="177"/>
        <v>0</v>
      </c>
      <c r="N1479" s="282">
        <f t="shared" si="178"/>
        <v>0</v>
      </c>
      <c r="O1479" s="291">
        <f t="shared" si="179"/>
        <v>0</v>
      </c>
      <c r="P1479" s="282">
        <f t="shared" si="180"/>
        <v>0</v>
      </c>
    </row>
    <row r="1480" spans="1:16">
      <c r="E1480" s="104"/>
      <c r="F1480" s="136"/>
      <c r="G1480" s="135"/>
      <c r="H1480" s="135"/>
      <c r="I1480" s="136"/>
      <c r="J1480" s="135"/>
      <c r="K1480" s="136">
        <f t="shared" ref="K1480:K1543" si="183">F1480+G1480+H1480+J1480+I1480</f>
        <v>0</v>
      </c>
      <c r="L1480" s="136">
        <v>0</v>
      </c>
      <c r="M1480" s="136">
        <f t="shared" ref="M1480:M1543" si="184">L1480-F1480</f>
        <v>0</v>
      </c>
      <c r="N1480" s="157"/>
      <c r="O1480" s="136">
        <f t="shared" ref="O1480:O1543" si="185">L1480-K1480</f>
        <v>0</v>
      </c>
      <c r="P1480" s="157"/>
    </row>
    <row r="1481" spans="1:16">
      <c r="A1481" s="77" t="s">
        <v>675</v>
      </c>
      <c r="B1481" s="77" t="s">
        <v>173</v>
      </c>
      <c r="C1481" s="537" t="s">
        <v>1029</v>
      </c>
      <c r="D1481" s="537" t="s">
        <v>982</v>
      </c>
      <c r="E1481" s="104" t="s">
        <v>238</v>
      </c>
      <c r="F1481" s="136">
        <v>5800</v>
      </c>
      <c r="G1481" s="135"/>
      <c r="H1481" s="135"/>
      <c r="I1481" s="291"/>
      <c r="J1481" s="135"/>
      <c r="K1481" s="136">
        <f t="shared" si="183"/>
        <v>5800</v>
      </c>
      <c r="L1481" s="136">
        <v>5800</v>
      </c>
      <c r="M1481" s="136">
        <f t="shared" si="184"/>
        <v>0</v>
      </c>
      <c r="N1481" s="157">
        <f t="shared" ref="N1481:N1543" si="186">M1481/F1481</f>
        <v>0</v>
      </c>
      <c r="O1481" s="136">
        <f t="shared" si="185"/>
        <v>0</v>
      </c>
      <c r="P1481" s="157">
        <f t="shared" ref="P1481:P1543" si="187">O1481/K1481</f>
        <v>0</v>
      </c>
    </row>
    <row r="1482" spans="1:16">
      <c r="E1482" s="104"/>
      <c r="F1482" s="136"/>
      <c r="G1482" s="135"/>
      <c r="H1482" s="135"/>
      <c r="I1482" s="136"/>
      <c r="J1482" s="135"/>
      <c r="K1482" s="136">
        <f t="shared" si="183"/>
        <v>0</v>
      </c>
      <c r="L1482" s="136">
        <v>0</v>
      </c>
      <c r="M1482" s="136">
        <f t="shared" si="184"/>
        <v>0</v>
      </c>
      <c r="N1482" s="157"/>
      <c r="O1482" s="136">
        <f t="shared" si="185"/>
        <v>0</v>
      </c>
      <c r="P1482" s="157"/>
    </row>
    <row r="1483" spans="1:16">
      <c r="A1483" s="77" t="s">
        <v>679</v>
      </c>
      <c r="B1483" s="77" t="s">
        <v>173</v>
      </c>
      <c r="C1483" s="537" t="s">
        <v>1021</v>
      </c>
      <c r="D1483" s="537" t="s">
        <v>1007</v>
      </c>
      <c r="E1483" s="290" t="s">
        <v>165</v>
      </c>
      <c r="F1483" s="291">
        <v>69241</v>
      </c>
      <c r="G1483" s="135"/>
      <c r="H1483" s="291">
        <v>40000</v>
      </c>
      <c r="I1483" s="291">
        <v>4500</v>
      </c>
      <c r="J1483" s="291">
        <v>1124</v>
      </c>
      <c r="K1483" s="291">
        <f t="shared" si="183"/>
        <v>114865</v>
      </c>
      <c r="L1483" s="291">
        <v>64378</v>
      </c>
      <c r="M1483" s="291">
        <f t="shared" si="184"/>
        <v>-4863</v>
      </c>
      <c r="N1483" s="282">
        <f t="shared" si="186"/>
        <v>-7.0232954463395961E-2</v>
      </c>
      <c r="O1483" s="291">
        <f t="shared" si="185"/>
        <v>-50487</v>
      </c>
      <c r="P1483" s="282">
        <f t="shared" si="187"/>
        <v>-0.43953336525486442</v>
      </c>
    </row>
    <row r="1484" spans="1:16">
      <c r="E1484" s="130" t="s">
        <v>47</v>
      </c>
      <c r="F1484" s="124">
        <v>7008</v>
      </c>
      <c r="G1484" s="135"/>
      <c r="H1484" s="135"/>
      <c r="I1484" s="136"/>
      <c r="J1484" s="124">
        <v>840</v>
      </c>
      <c r="K1484" s="124">
        <f t="shared" si="183"/>
        <v>7848</v>
      </c>
      <c r="L1484" s="124">
        <v>7848</v>
      </c>
      <c r="M1484" s="124">
        <f t="shared" si="184"/>
        <v>840</v>
      </c>
      <c r="N1484" s="270">
        <f t="shared" si="186"/>
        <v>0.11986301369863013</v>
      </c>
      <c r="O1484" s="124">
        <f t="shared" si="185"/>
        <v>0</v>
      </c>
      <c r="P1484" s="270">
        <f t="shared" si="187"/>
        <v>0</v>
      </c>
    </row>
    <row r="1485" spans="1:16">
      <c r="E1485" s="290"/>
      <c r="F1485" s="291"/>
      <c r="G1485" s="135"/>
      <c r="H1485" s="135"/>
      <c r="I1485" s="136"/>
      <c r="J1485" s="135"/>
      <c r="K1485" s="291">
        <f t="shared" si="183"/>
        <v>0</v>
      </c>
      <c r="L1485" s="291">
        <v>0</v>
      </c>
      <c r="M1485" s="291">
        <f t="shared" si="184"/>
        <v>0</v>
      </c>
      <c r="N1485" s="282"/>
      <c r="O1485" s="291">
        <f t="shared" si="185"/>
        <v>0</v>
      </c>
      <c r="P1485" s="282"/>
    </row>
    <row r="1486" spans="1:16">
      <c r="A1486" s="77" t="s">
        <v>678</v>
      </c>
      <c r="B1486" s="77" t="s">
        <v>173</v>
      </c>
      <c r="C1486" s="537" t="s">
        <v>1028</v>
      </c>
      <c r="D1486" s="537" t="s">
        <v>966</v>
      </c>
      <c r="E1486" s="273" t="s">
        <v>171</v>
      </c>
      <c r="F1486" s="131">
        <v>29850</v>
      </c>
      <c r="G1486" s="135"/>
      <c r="H1486" s="131"/>
      <c r="I1486" s="131">
        <v>6150</v>
      </c>
      <c r="J1486" s="135"/>
      <c r="K1486" s="131">
        <f t="shared" si="183"/>
        <v>36000</v>
      </c>
      <c r="L1486" s="131">
        <v>32000</v>
      </c>
      <c r="M1486" s="131">
        <f t="shared" si="184"/>
        <v>2150</v>
      </c>
      <c r="N1486" s="157">
        <f t="shared" si="186"/>
        <v>7.2026800670016752E-2</v>
      </c>
      <c r="O1486" s="131">
        <f t="shared" si="185"/>
        <v>-4000</v>
      </c>
      <c r="P1486" s="157">
        <f t="shared" si="187"/>
        <v>-0.1111111111111111</v>
      </c>
    </row>
    <row r="1487" spans="1:16">
      <c r="E1487" s="147"/>
      <c r="F1487" s="136"/>
      <c r="G1487" s="135"/>
      <c r="H1487" s="131"/>
      <c r="I1487" s="125"/>
      <c r="J1487" s="135"/>
      <c r="K1487" s="136">
        <f t="shared" si="183"/>
        <v>0</v>
      </c>
      <c r="L1487" s="136">
        <v>0</v>
      </c>
      <c r="M1487" s="136">
        <f t="shared" si="184"/>
        <v>0</v>
      </c>
      <c r="N1487" s="157"/>
      <c r="O1487" s="136">
        <f t="shared" si="185"/>
        <v>0</v>
      </c>
      <c r="P1487" s="157"/>
    </row>
    <row r="1488" spans="1:16">
      <c r="A1488" s="77" t="s">
        <v>678</v>
      </c>
      <c r="B1488" s="77" t="s">
        <v>173</v>
      </c>
      <c r="C1488" s="537" t="s">
        <v>1028</v>
      </c>
      <c r="D1488" s="537" t="s">
        <v>966</v>
      </c>
      <c r="E1488" s="273" t="s">
        <v>154</v>
      </c>
      <c r="F1488" s="131">
        <v>3000</v>
      </c>
      <c r="G1488" s="135"/>
      <c r="H1488" s="131"/>
      <c r="I1488" s="131"/>
      <c r="J1488" s="135"/>
      <c r="K1488" s="131">
        <f t="shared" si="183"/>
        <v>3000</v>
      </c>
      <c r="L1488" s="131">
        <v>3000</v>
      </c>
      <c r="M1488" s="131">
        <f t="shared" si="184"/>
        <v>0</v>
      </c>
      <c r="N1488" s="157">
        <f t="shared" si="186"/>
        <v>0</v>
      </c>
      <c r="O1488" s="131">
        <f t="shared" si="185"/>
        <v>0</v>
      </c>
      <c r="P1488" s="157">
        <f t="shared" si="187"/>
        <v>0</v>
      </c>
    </row>
    <row r="1489" spans="1:16">
      <c r="E1489" s="307"/>
      <c r="F1489" s="125"/>
      <c r="G1489" s="135"/>
      <c r="H1489" s="131"/>
      <c r="I1489" s="131"/>
      <c r="J1489" s="135"/>
      <c r="K1489" s="125">
        <f t="shared" si="183"/>
        <v>0</v>
      </c>
      <c r="L1489" s="125">
        <v>0</v>
      </c>
      <c r="M1489" s="125">
        <f t="shared" si="184"/>
        <v>0</v>
      </c>
      <c r="N1489" s="284"/>
      <c r="O1489" s="125">
        <f t="shared" si="185"/>
        <v>0</v>
      </c>
      <c r="P1489" s="284"/>
    </row>
    <row r="1490" spans="1:16">
      <c r="A1490" s="77" t="s">
        <v>692</v>
      </c>
      <c r="B1490" s="77" t="s">
        <v>173</v>
      </c>
      <c r="C1490" s="537"/>
      <c r="D1490" s="537"/>
      <c r="E1490" s="273" t="s">
        <v>172</v>
      </c>
      <c r="F1490" s="131">
        <v>10000</v>
      </c>
      <c r="G1490" s="135"/>
      <c r="H1490" s="131">
        <v>-5000</v>
      </c>
      <c r="I1490" s="131">
        <v>-4500</v>
      </c>
      <c r="J1490" s="135"/>
      <c r="K1490" s="131">
        <f t="shared" si="183"/>
        <v>500</v>
      </c>
      <c r="L1490" s="131">
        <v>5000</v>
      </c>
      <c r="M1490" s="131">
        <f t="shared" si="184"/>
        <v>-5000</v>
      </c>
      <c r="N1490" s="157">
        <f t="shared" si="186"/>
        <v>-0.5</v>
      </c>
      <c r="O1490" s="131">
        <f t="shared" si="185"/>
        <v>4500</v>
      </c>
      <c r="P1490" s="157">
        <f t="shared" si="187"/>
        <v>9</v>
      </c>
    </row>
    <row r="1491" spans="1:16">
      <c r="E1491" s="273"/>
      <c r="F1491" s="131"/>
      <c r="G1491" s="135"/>
      <c r="H1491" s="131"/>
      <c r="I1491" s="131"/>
      <c r="J1491" s="135"/>
      <c r="K1491" s="131">
        <f t="shared" si="183"/>
        <v>0</v>
      </c>
      <c r="L1491" s="131">
        <v>0</v>
      </c>
      <c r="M1491" s="131">
        <f t="shared" si="184"/>
        <v>0</v>
      </c>
      <c r="N1491" s="157"/>
      <c r="O1491" s="131">
        <f t="shared" si="185"/>
        <v>0</v>
      </c>
      <c r="P1491" s="157"/>
    </row>
    <row r="1492" spans="1:16">
      <c r="E1492" s="723"/>
      <c r="F1492" s="268"/>
      <c r="G1492" s="135"/>
      <c r="H1492" s="135"/>
      <c r="I1492" s="136"/>
      <c r="J1492" s="135"/>
      <c r="K1492" s="268">
        <f t="shared" si="183"/>
        <v>0</v>
      </c>
      <c r="L1492" s="268">
        <v>0</v>
      </c>
      <c r="M1492" s="268">
        <f t="shared" si="184"/>
        <v>0</v>
      </c>
      <c r="N1492" s="157"/>
      <c r="O1492" s="268">
        <f t="shared" si="185"/>
        <v>0</v>
      </c>
      <c r="P1492" s="157"/>
    </row>
    <row r="1493" spans="1:16" ht="15.6">
      <c r="E1493" s="259" t="s">
        <v>174</v>
      </c>
      <c r="F1493" s="260"/>
      <c r="G1493" s="135"/>
      <c r="H1493" s="135"/>
      <c r="I1493" s="136"/>
      <c r="J1493" s="135"/>
      <c r="K1493" s="260">
        <f t="shared" si="183"/>
        <v>0</v>
      </c>
      <c r="L1493" s="260">
        <v>0</v>
      </c>
      <c r="M1493" s="260">
        <f t="shared" si="184"/>
        <v>0</v>
      </c>
      <c r="N1493" s="275"/>
      <c r="O1493" s="260">
        <f t="shared" si="185"/>
        <v>0</v>
      </c>
      <c r="P1493" s="275"/>
    </row>
    <row r="1494" spans="1:16">
      <c r="E1494" s="147"/>
      <c r="F1494" s="136"/>
      <c r="G1494" s="135"/>
      <c r="H1494" s="135"/>
      <c r="I1494" s="136"/>
      <c r="J1494" s="135"/>
      <c r="K1494" s="136">
        <f t="shared" si="183"/>
        <v>0</v>
      </c>
      <c r="L1494" s="136">
        <v>0</v>
      </c>
      <c r="M1494" s="136">
        <f t="shared" si="184"/>
        <v>0</v>
      </c>
      <c r="N1494" s="157"/>
      <c r="O1494" s="136">
        <f t="shared" si="185"/>
        <v>0</v>
      </c>
      <c r="P1494" s="157"/>
    </row>
    <row r="1495" spans="1:16">
      <c r="E1495" s="261" t="s">
        <v>98</v>
      </c>
      <c r="F1495" s="127">
        <f>F1502+F1506+F1512+F1518+F1534+F1538</f>
        <v>6757048</v>
      </c>
      <c r="G1495" s="127">
        <f>G1502+G1506+G1512+G1518+G1534+G1538</f>
        <v>0</v>
      </c>
      <c r="H1495" s="127">
        <f>H1502+H1506+H1512+H1518+H1534+H1538</f>
        <v>110597</v>
      </c>
      <c r="I1495" s="127">
        <f>I1502+I1506+I1512+I1518+I1534+I1538</f>
        <v>209125</v>
      </c>
      <c r="J1495" s="127">
        <f>J1502+J1506+J1512+J1518+J1534+J1538</f>
        <v>473475</v>
      </c>
      <c r="K1495" s="127">
        <f t="shared" si="183"/>
        <v>7550245</v>
      </c>
      <c r="L1495" s="127">
        <f>L1502+L1506+L1512+L1518+L1534+L1538</f>
        <v>7117257</v>
      </c>
      <c r="M1495" s="127">
        <f t="shared" si="184"/>
        <v>360209</v>
      </c>
      <c r="N1495" s="160">
        <f t="shared" si="186"/>
        <v>5.3308634184632109E-2</v>
      </c>
      <c r="O1495" s="127">
        <f t="shared" si="185"/>
        <v>-432988</v>
      </c>
      <c r="P1495" s="160">
        <f t="shared" si="187"/>
        <v>-5.7347543026749465E-2</v>
      </c>
    </row>
    <row r="1496" spans="1:16">
      <c r="E1496" s="262" t="s">
        <v>359</v>
      </c>
      <c r="F1496" s="128">
        <v>604020</v>
      </c>
      <c r="G1496" s="135"/>
      <c r="H1496" s="136"/>
      <c r="I1496" s="138">
        <v>234650</v>
      </c>
      <c r="J1496" s="136"/>
      <c r="K1496" s="128">
        <f t="shared" si="183"/>
        <v>838670</v>
      </c>
      <c r="L1496" s="128">
        <v>830030</v>
      </c>
      <c r="M1496" s="128">
        <f t="shared" si="184"/>
        <v>226010</v>
      </c>
      <c r="N1496" s="91">
        <f t="shared" si="186"/>
        <v>0.37417635177643127</v>
      </c>
      <c r="O1496" s="128">
        <f t="shared" si="185"/>
        <v>-8640</v>
      </c>
      <c r="P1496" s="91">
        <f t="shared" si="187"/>
        <v>-1.0302025826606413E-2</v>
      </c>
    </row>
    <row r="1497" spans="1:16">
      <c r="E1497" s="261" t="s">
        <v>44</v>
      </c>
      <c r="F1497" s="127">
        <f>F1498+F1499</f>
        <v>6757048</v>
      </c>
      <c r="G1497" s="127">
        <f>G1498+G1499</f>
        <v>0</v>
      </c>
      <c r="H1497" s="127">
        <f>H1498+H1499</f>
        <v>110597</v>
      </c>
      <c r="I1497" s="127">
        <f>I1498+I1499</f>
        <v>209125</v>
      </c>
      <c r="J1497" s="127">
        <f>J1498+J1499</f>
        <v>473475</v>
      </c>
      <c r="K1497" s="127">
        <f t="shared" si="183"/>
        <v>7550245</v>
      </c>
      <c r="L1497" s="127">
        <f>L1498+L1499</f>
        <v>7117257</v>
      </c>
      <c r="M1497" s="127">
        <f t="shared" si="184"/>
        <v>360209</v>
      </c>
      <c r="N1497" s="160">
        <f t="shared" si="186"/>
        <v>5.3308634184632109E-2</v>
      </c>
      <c r="O1497" s="127">
        <f t="shared" si="185"/>
        <v>-432988</v>
      </c>
      <c r="P1497" s="160">
        <f t="shared" si="187"/>
        <v>-5.7347543026749465E-2</v>
      </c>
    </row>
    <row r="1498" spans="1:16">
      <c r="E1498" s="262" t="s">
        <v>45</v>
      </c>
      <c r="F1498" s="128">
        <v>997575</v>
      </c>
      <c r="G1498" s="135"/>
      <c r="H1498" s="138">
        <v>37780</v>
      </c>
      <c r="I1498" s="138">
        <v>175750</v>
      </c>
      <c r="J1498" s="136"/>
      <c r="K1498" s="128">
        <f t="shared" si="183"/>
        <v>1211105</v>
      </c>
      <c r="L1498" s="128">
        <v>1110625</v>
      </c>
      <c r="M1498" s="128">
        <f t="shared" si="184"/>
        <v>113050</v>
      </c>
      <c r="N1498" s="91">
        <f t="shared" si="186"/>
        <v>0.11332481267072651</v>
      </c>
      <c r="O1498" s="128">
        <f t="shared" si="185"/>
        <v>-100480</v>
      </c>
      <c r="P1498" s="91">
        <f t="shared" si="187"/>
        <v>-8.2965556248219607E-2</v>
      </c>
    </row>
    <row r="1499" spans="1:16">
      <c r="E1499" s="263" t="s">
        <v>46</v>
      </c>
      <c r="F1499" s="128">
        <f>F1495-F1498</f>
        <v>5759473</v>
      </c>
      <c r="G1499" s="128">
        <f>G1495-G1498</f>
        <v>0</v>
      </c>
      <c r="H1499" s="128">
        <f>H1495-H1498</f>
        <v>72817</v>
      </c>
      <c r="I1499" s="128">
        <f>I1495-I1498</f>
        <v>33375</v>
      </c>
      <c r="J1499" s="128">
        <f>J1495-J1498</f>
        <v>473475</v>
      </c>
      <c r="K1499" s="128">
        <f t="shared" si="183"/>
        <v>6339140</v>
      </c>
      <c r="L1499" s="128">
        <f>L1495-L1498</f>
        <v>6006632</v>
      </c>
      <c r="M1499" s="128">
        <f t="shared" si="184"/>
        <v>247159</v>
      </c>
      <c r="N1499" s="91">
        <f t="shared" si="186"/>
        <v>4.2913474896053856E-2</v>
      </c>
      <c r="O1499" s="128">
        <f t="shared" si="185"/>
        <v>-332508</v>
      </c>
      <c r="P1499" s="91">
        <f t="shared" si="187"/>
        <v>-5.2453171881359298E-2</v>
      </c>
    </row>
    <row r="1500" spans="1:16" s="10" customFormat="1">
      <c r="A1500" s="135"/>
      <c r="B1500" s="135"/>
      <c r="C1500" s="482"/>
      <c r="D1500" s="482"/>
      <c r="E1500" s="264" t="s">
        <v>718</v>
      </c>
      <c r="F1500" s="129">
        <f>F1504+F1510+F1516+F1523+F1528+F1532+F1536+F1541+F1545+F1561</f>
        <v>3393506</v>
      </c>
      <c r="G1500" s="129">
        <f>G1504+G1510+G1516+G1523+G1528+G1532+G1536+G1541+G1545+G1561</f>
        <v>0</v>
      </c>
      <c r="H1500" s="129">
        <f>H1504+H1510+H1516+H1523+H1528+H1532+H1536+H1541+H1545+H1561</f>
        <v>50954</v>
      </c>
      <c r="I1500" s="129">
        <f>I1504+I1510+I1516+I1523+I1528+I1532+I1536+I1541+I1545+I1561</f>
        <v>-8016</v>
      </c>
      <c r="J1500" s="129">
        <f>J1504+J1510+J1516+J1523+J1528+J1532+J1536+J1541+J1545+J1561</f>
        <v>353866</v>
      </c>
      <c r="K1500" s="129">
        <f t="shared" si="183"/>
        <v>3790310</v>
      </c>
      <c r="L1500" s="129">
        <f>L1504+L1510+L1516+L1523+L1528+L1532+L1536+L1541+L1545+L1561</f>
        <v>3953601</v>
      </c>
      <c r="M1500" s="129">
        <f t="shared" si="184"/>
        <v>560095</v>
      </c>
      <c r="N1500" s="265">
        <f t="shared" si="186"/>
        <v>0.16504906724785517</v>
      </c>
      <c r="O1500" s="129">
        <f t="shared" si="185"/>
        <v>163291</v>
      </c>
      <c r="P1500" s="265">
        <f t="shared" si="187"/>
        <v>4.3081172780062842E-2</v>
      </c>
    </row>
    <row r="1501" spans="1:16">
      <c r="E1501" s="263"/>
      <c r="F1501" s="128"/>
      <c r="G1501" s="135"/>
      <c r="H1501" s="136"/>
      <c r="I1501" s="136"/>
      <c r="J1501" s="136"/>
      <c r="K1501" s="128">
        <f t="shared" si="183"/>
        <v>0</v>
      </c>
      <c r="L1501" s="128">
        <v>0</v>
      </c>
      <c r="M1501" s="128">
        <f t="shared" si="184"/>
        <v>0</v>
      </c>
      <c r="N1501" s="91"/>
      <c r="O1501" s="128">
        <f t="shared" si="185"/>
        <v>0</v>
      </c>
      <c r="P1501" s="91"/>
    </row>
    <row r="1502" spans="1:16" ht="13.8">
      <c r="A1502" s="77" t="s">
        <v>672</v>
      </c>
      <c r="B1502" s="77" t="s">
        <v>174</v>
      </c>
      <c r="E1502" s="443" t="s">
        <v>103</v>
      </c>
      <c r="F1502" s="444">
        <f>F1503</f>
        <v>461164</v>
      </c>
      <c r="G1502" s="135"/>
      <c r="H1502" s="126">
        <v>2000</v>
      </c>
      <c r="I1502" s="126">
        <f>I1503</f>
        <v>9000</v>
      </c>
      <c r="J1502" s="444">
        <f t="shared" ref="J1502" si="188">J1503</f>
        <v>25625</v>
      </c>
      <c r="K1502" s="444">
        <f t="shared" si="183"/>
        <v>497789</v>
      </c>
      <c r="L1502" s="444">
        <f>L1503</f>
        <v>475105</v>
      </c>
      <c r="M1502" s="444">
        <f t="shared" si="184"/>
        <v>13941</v>
      </c>
      <c r="N1502" s="313">
        <f t="shared" si="186"/>
        <v>3.0230026628271071E-2</v>
      </c>
      <c r="O1502" s="444">
        <f t="shared" si="185"/>
        <v>-22684</v>
      </c>
      <c r="P1502" s="313">
        <f t="shared" si="187"/>
        <v>-4.5569508365994424E-2</v>
      </c>
    </row>
    <row r="1503" spans="1:16">
      <c r="C1503" s="537"/>
      <c r="D1503" s="537"/>
      <c r="E1503" s="339" t="s">
        <v>556</v>
      </c>
      <c r="F1503" s="123">
        <v>461164</v>
      </c>
      <c r="G1503" s="135"/>
      <c r="H1503" s="136">
        <v>2000</v>
      </c>
      <c r="I1503" s="136">
        <v>9000</v>
      </c>
      <c r="J1503" s="136">
        <v>25625</v>
      </c>
      <c r="K1503" s="123">
        <f t="shared" si="183"/>
        <v>497789</v>
      </c>
      <c r="L1503" s="123">
        <v>475105</v>
      </c>
      <c r="M1503" s="123">
        <f t="shared" si="184"/>
        <v>13941</v>
      </c>
      <c r="N1503" s="160">
        <f t="shared" si="186"/>
        <v>3.0230026628271071E-2</v>
      </c>
      <c r="O1503" s="123">
        <f t="shared" si="185"/>
        <v>-22684</v>
      </c>
      <c r="P1503" s="160">
        <f t="shared" si="187"/>
        <v>-4.5569508365994424E-2</v>
      </c>
    </row>
    <row r="1504" spans="1:16">
      <c r="E1504" s="132" t="s">
        <v>47</v>
      </c>
      <c r="F1504" s="124">
        <v>241904</v>
      </c>
      <c r="G1504" s="135"/>
      <c r="H1504" s="136"/>
      <c r="I1504" s="136"/>
      <c r="J1504" s="272">
        <v>19152</v>
      </c>
      <c r="K1504" s="124">
        <f t="shared" si="183"/>
        <v>261056</v>
      </c>
      <c r="L1504" s="124">
        <v>263900</v>
      </c>
      <c r="M1504" s="124">
        <f t="shared" si="184"/>
        <v>21996</v>
      </c>
      <c r="N1504" s="270">
        <f t="shared" si="186"/>
        <v>9.0928632846087709E-2</v>
      </c>
      <c r="O1504" s="124">
        <f t="shared" si="185"/>
        <v>2844</v>
      </c>
      <c r="P1504" s="270">
        <f t="shared" si="187"/>
        <v>1.089421426820299E-2</v>
      </c>
    </row>
    <row r="1505" spans="1:16">
      <c r="E1505" s="132"/>
      <c r="F1505" s="124"/>
      <c r="G1505" s="135"/>
      <c r="H1505" s="136"/>
      <c r="I1505" s="136"/>
      <c r="J1505" s="136"/>
      <c r="K1505" s="124">
        <f t="shared" si="183"/>
        <v>0</v>
      </c>
      <c r="L1505" s="124">
        <v>0</v>
      </c>
      <c r="M1505" s="124">
        <f t="shared" si="184"/>
        <v>0</v>
      </c>
      <c r="N1505" s="270"/>
      <c r="O1505" s="124">
        <f t="shared" si="185"/>
        <v>0</v>
      </c>
      <c r="P1505" s="270"/>
    </row>
    <row r="1506" spans="1:16" ht="13.8">
      <c r="A1506" s="77" t="s">
        <v>674</v>
      </c>
      <c r="B1506" s="77" t="s">
        <v>174</v>
      </c>
      <c r="E1506" s="422" t="s">
        <v>105</v>
      </c>
      <c r="F1506" s="423">
        <f>F1507</f>
        <v>120400</v>
      </c>
      <c r="G1506" s="135"/>
      <c r="H1506" s="136"/>
      <c r="I1506" s="126">
        <f>I1507</f>
        <v>5330</v>
      </c>
      <c r="J1506" s="423">
        <f t="shared" ref="J1506" si="189">J1507</f>
        <v>9921</v>
      </c>
      <c r="K1506" s="423">
        <f t="shared" si="183"/>
        <v>135651</v>
      </c>
      <c r="L1506" s="423">
        <f>L1507</f>
        <v>132429</v>
      </c>
      <c r="M1506" s="423">
        <f t="shared" si="184"/>
        <v>12029</v>
      </c>
      <c r="N1506" s="424">
        <f t="shared" si="186"/>
        <v>9.9908637873754147E-2</v>
      </c>
      <c r="O1506" s="423">
        <f t="shared" si="185"/>
        <v>-3222</v>
      </c>
      <c r="P1506" s="424">
        <f t="shared" si="187"/>
        <v>-2.3752128624190016E-2</v>
      </c>
    </row>
    <row r="1507" spans="1:16">
      <c r="C1507" s="537"/>
      <c r="D1507" s="537"/>
      <c r="E1507" s="394" t="s">
        <v>106</v>
      </c>
      <c r="F1507" s="395">
        <f>F1509</f>
        <v>120400</v>
      </c>
      <c r="G1507" s="135"/>
      <c r="H1507" s="136"/>
      <c r="I1507" s="123">
        <f>I1509</f>
        <v>5330</v>
      </c>
      <c r="J1507" s="395">
        <f t="shared" ref="J1507" si="190">J1509</f>
        <v>9921</v>
      </c>
      <c r="K1507" s="395">
        <f t="shared" si="183"/>
        <v>135651</v>
      </c>
      <c r="L1507" s="395">
        <f>L1509</f>
        <v>132429</v>
      </c>
      <c r="M1507" s="395">
        <f t="shared" si="184"/>
        <v>12029</v>
      </c>
      <c r="N1507" s="370">
        <f t="shared" si="186"/>
        <v>9.9908637873754147E-2</v>
      </c>
      <c r="O1507" s="395">
        <f t="shared" si="185"/>
        <v>-3222</v>
      </c>
      <c r="P1507" s="370">
        <f t="shared" si="187"/>
        <v>-2.3752128624190016E-2</v>
      </c>
    </row>
    <row r="1508" spans="1:16">
      <c r="E1508" s="425" t="s">
        <v>101</v>
      </c>
      <c r="F1508" s="395"/>
      <c r="G1508" s="135"/>
      <c r="H1508" s="136"/>
      <c r="I1508" s="136"/>
      <c r="J1508" s="136"/>
      <c r="K1508" s="395">
        <f t="shared" si="183"/>
        <v>0</v>
      </c>
      <c r="L1508" s="395">
        <v>0</v>
      </c>
      <c r="M1508" s="395">
        <f t="shared" si="184"/>
        <v>0</v>
      </c>
      <c r="N1508" s="370"/>
      <c r="O1508" s="395">
        <f t="shared" si="185"/>
        <v>0</v>
      </c>
      <c r="P1508" s="370"/>
    </row>
    <row r="1509" spans="1:16">
      <c r="E1509" s="37" t="s">
        <v>557</v>
      </c>
      <c r="F1509" s="47">
        <v>120400</v>
      </c>
      <c r="G1509" s="135"/>
      <c r="H1509" s="136"/>
      <c r="I1509" s="136">
        <v>5330</v>
      </c>
      <c r="J1509" s="136">
        <v>9921</v>
      </c>
      <c r="K1509" s="47">
        <f t="shared" si="183"/>
        <v>135651</v>
      </c>
      <c r="L1509" s="47">
        <v>132429</v>
      </c>
      <c r="M1509" s="47">
        <f t="shared" si="184"/>
        <v>12029</v>
      </c>
      <c r="N1509" s="96">
        <f t="shared" si="186"/>
        <v>9.9908637873754147E-2</v>
      </c>
      <c r="O1509" s="47">
        <f t="shared" si="185"/>
        <v>-3222</v>
      </c>
      <c r="P1509" s="96">
        <f t="shared" si="187"/>
        <v>-2.3752128624190016E-2</v>
      </c>
    </row>
    <row r="1510" spans="1:16">
      <c r="E1510" s="446" t="s">
        <v>47</v>
      </c>
      <c r="F1510" s="125">
        <v>82610</v>
      </c>
      <c r="G1510" s="135"/>
      <c r="H1510" s="136"/>
      <c r="I1510" s="136"/>
      <c r="J1510" s="272">
        <v>7415</v>
      </c>
      <c r="K1510" s="125">
        <f t="shared" si="183"/>
        <v>90025</v>
      </c>
      <c r="L1510" s="125">
        <v>90873</v>
      </c>
      <c r="M1510" s="125">
        <f t="shared" si="184"/>
        <v>8263</v>
      </c>
      <c r="N1510" s="284">
        <f t="shared" si="186"/>
        <v>0.10002421014405036</v>
      </c>
      <c r="O1510" s="125">
        <f t="shared" si="185"/>
        <v>848</v>
      </c>
      <c r="P1510" s="284">
        <f t="shared" si="187"/>
        <v>9.4196056650930303E-3</v>
      </c>
    </row>
    <row r="1511" spans="1:16">
      <c r="E1511" s="446"/>
      <c r="F1511" s="125"/>
      <c r="G1511" s="135"/>
      <c r="H1511" s="136"/>
      <c r="I1511" s="136"/>
      <c r="J1511" s="136"/>
      <c r="K1511" s="125">
        <f t="shared" si="183"/>
        <v>0</v>
      </c>
      <c r="L1511" s="125">
        <v>0</v>
      </c>
      <c r="M1511" s="125">
        <f t="shared" si="184"/>
        <v>0</v>
      </c>
      <c r="N1511" s="284"/>
      <c r="O1511" s="125">
        <f t="shared" si="185"/>
        <v>0</v>
      </c>
      <c r="P1511" s="284"/>
    </row>
    <row r="1512" spans="1:16" ht="13.8">
      <c r="A1512" s="77" t="s">
        <v>659</v>
      </c>
      <c r="B1512" s="77" t="s">
        <v>174</v>
      </c>
      <c r="E1512" s="344" t="s">
        <v>584</v>
      </c>
      <c r="F1512" s="126">
        <f>F1513</f>
        <v>224500</v>
      </c>
      <c r="G1512" s="135"/>
      <c r="H1512" s="136"/>
      <c r="I1512" s="126">
        <f>I1513</f>
        <v>8000</v>
      </c>
      <c r="J1512" s="126">
        <f t="shared" ref="J1512" si="191">J1513</f>
        <v>11123</v>
      </c>
      <c r="K1512" s="126">
        <f t="shared" si="183"/>
        <v>243623</v>
      </c>
      <c r="L1512" s="126">
        <f>L1513</f>
        <v>234136</v>
      </c>
      <c r="M1512" s="126">
        <f t="shared" si="184"/>
        <v>9636</v>
      </c>
      <c r="N1512" s="313">
        <f t="shared" si="186"/>
        <v>4.2922048997772827E-2</v>
      </c>
      <c r="O1512" s="126">
        <f t="shared" si="185"/>
        <v>-9487</v>
      </c>
      <c r="P1512" s="313">
        <f t="shared" si="187"/>
        <v>-3.8941315064669593E-2</v>
      </c>
    </row>
    <row r="1513" spans="1:16">
      <c r="C1513" s="537"/>
      <c r="D1513" s="537"/>
      <c r="E1513" s="339" t="s">
        <v>104</v>
      </c>
      <c r="F1513" s="123">
        <f>F1515</f>
        <v>224500</v>
      </c>
      <c r="G1513" s="135"/>
      <c r="H1513" s="136"/>
      <c r="I1513" s="123">
        <f>I1515</f>
        <v>8000</v>
      </c>
      <c r="J1513" s="123">
        <f t="shared" ref="J1513" si="192">J1515</f>
        <v>11123</v>
      </c>
      <c r="K1513" s="123">
        <f t="shared" si="183"/>
        <v>243623</v>
      </c>
      <c r="L1513" s="123">
        <f>L1515</f>
        <v>234136</v>
      </c>
      <c r="M1513" s="123">
        <f t="shared" si="184"/>
        <v>9636</v>
      </c>
      <c r="N1513" s="160">
        <f t="shared" si="186"/>
        <v>4.2922048997772827E-2</v>
      </c>
      <c r="O1513" s="123">
        <f t="shared" si="185"/>
        <v>-9487</v>
      </c>
      <c r="P1513" s="160">
        <f t="shared" si="187"/>
        <v>-3.8941315064669593E-2</v>
      </c>
    </row>
    <row r="1514" spans="1:16">
      <c r="E1514" s="315" t="s">
        <v>101</v>
      </c>
      <c r="F1514" s="123"/>
      <c r="G1514" s="135"/>
      <c r="H1514" s="136"/>
      <c r="I1514" s="136"/>
      <c r="J1514" s="136"/>
      <c r="K1514" s="123">
        <f t="shared" si="183"/>
        <v>0</v>
      </c>
      <c r="L1514" s="123">
        <v>0</v>
      </c>
      <c r="M1514" s="123">
        <f t="shared" si="184"/>
        <v>0</v>
      </c>
      <c r="N1514" s="160"/>
      <c r="O1514" s="123">
        <f t="shared" si="185"/>
        <v>0</v>
      </c>
      <c r="P1514" s="160"/>
    </row>
    <row r="1515" spans="1:16">
      <c r="E1515" s="37" t="s">
        <v>558</v>
      </c>
      <c r="F1515" s="47">
        <v>224500</v>
      </c>
      <c r="G1515" s="135"/>
      <c r="H1515" s="136"/>
      <c r="I1515" s="136">
        <v>8000</v>
      </c>
      <c r="J1515" s="136">
        <v>11123</v>
      </c>
      <c r="K1515" s="47">
        <f t="shared" si="183"/>
        <v>243623</v>
      </c>
      <c r="L1515" s="47">
        <v>234136</v>
      </c>
      <c r="M1515" s="47">
        <f t="shared" si="184"/>
        <v>9636</v>
      </c>
      <c r="N1515" s="96">
        <f t="shared" si="186"/>
        <v>4.2922048997772827E-2</v>
      </c>
      <c r="O1515" s="47">
        <f t="shared" si="185"/>
        <v>-9487</v>
      </c>
      <c r="P1515" s="96">
        <f t="shared" si="187"/>
        <v>-3.8941315064669593E-2</v>
      </c>
    </row>
    <row r="1516" spans="1:16">
      <c r="E1516" s="323" t="s">
        <v>47</v>
      </c>
      <c r="F1516" s="124">
        <v>97850</v>
      </c>
      <c r="G1516" s="135"/>
      <c r="H1516" s="136"/>
      <c r="I1516" s="136"/>
      <c r="J1516" s="272">
        <v>8313</v>
      </c>
      <c r="K1516" s="124">
        <f t="shared" si="183"/>
        <v>106163</v>
      </c>
      <c r="L1516" s="124">
        <v>106969</v>
      </c>
      <c r="M1516" s="124">
        <f t="shared" si="184"/>
        <v>9119</v>
      </c>
      <c r="N1516" s="270">
        <f t="shared" si="186"/>
        <v>9.3193663771078183E-2</v>
      </c>
      <c r="O1516" s="124">
        <f t="shared" si="185"/>
        <v>806</v>
      </c>
      <c r="P1516" s="270">
        <f t="shared" si="187"/>
        <v>7.5920989421926662E-3</v>
      </c>
    </row>
    <row r="1517" spans="1:16">
      <c r="E1517" s="297"/>
      <c r="F1517" s="298"/>
      <c r="G1517" s="135"/>
      <c r="H1517" s="136"/>
      <c r="I1517" s="136"/>
      <c r="J1517" s="136"/>
      <c r="K1517" s="298">
        <f t="shared" si="183"/>
        <v>0</v>
      </c>
      <c r="L1517" s="298">
        <v>0</v>
      </c>
      <c r="M1517" s="298">
        <f t="shared" si="184"/>
        <v>0</v>
      </c>
      <c r="N1517" s="299"/>
      <c r="O1517" s="298">
        <f t="shared" si="185"/>
        <v>0</v>
      </c>
      <c r="P1517" s="299"/>
    </row>
    <row r="1518" spans="1:16" ht="13.8">
      <c r="A1518" s="77" t="s">
        <v>675</v>
      </c>
      <c r="B1518" s="77" t="s">
        <v>174</v>
      </c>
      <c r="E1518" s="443" t="s">
        <v>108</v>
      </c>
      <c r="F1518" s="444">
        <f>F1520+F1525</f>
        <v>1467032</v>
      </c>
      <c r="G1518" s="444">
        <f t="shared" ref="G1518:J1518" si="193">G1520+G1525</f>
        <v>0</v>
      </c>
      <c r="H1518" s="444">
        <f t="shared" si="193"/>
        <v>5620</v>
      </c>
      <c r="I1518" s="444">
        <f>I1520+I1525</f>
        <v>2070</v>
      </c>
      <c r="J1518" s="444">
        <f t="shared" si="193"/>
        <v>119682</v>
      </c>
      <c r="K1518" s="444">
        <f t="shared" si="183"/>
        <v>1594404</v>
      </c>
      <c r="L1518" s="444">
        <f>L1520+L1525</f>
        <v>1614267</v>
      </c>
      <c r="M1518" s="444">
        <f t="shared" si="184"/>
        <v>147235</v>
      </c>
      <c r="N1518" s="313">
        <f t="shared" si="186"/>
        <v>0.10036250061348355</v>
      </c>
      <c r="O1518" s="444">
        <f t="shared" si="185"/>
        <v>19863</v>
      </c>
      <c r="P1518" s="313">
        <f t="shared" si="187"/>
        <v>1.2457946668472985E-2</v>
      </c>
    </row>
    <row r="1519" spans="1:16">
      <c r="E1519" s="458"/>
      <c r="F1519" s="373"/>
      <c r="G1519" s="135"/>
      <c r="H1519" s="136"/>
      <c r="I1519" s="136"/>
      <c r="J1519" s="136"/>
      <c r="K1519" s="373">
        <f t="shared" si="183"/>
        <v>0</v>
      </c>
      <c r="L1519" s="373"/>
      <c r="M1519" s="373">
        <f t="shared" si="184"/>
        <v>0</v>
      </c>
      <c r="N1519" s="160"/>
      <c r="O1519" s="373">
        <f t="shared" si="185"/>
        <v>0</v>
      </c>
      <c r="P1519" s="160"/>
    </row>
    <row r="1520" spans="1:16">
      <c r="C1520" s="537"/>
      <c r="D1520" s="537"/>
      <c r="E1520" s="314" t="s">
        <v>119</v>
      </c>
      <c r="F1520" s="127">
        <f>F1522</f>
        <v>307775</v>
      </c>
      <c r="G1520" s="127">
        <f t="shared" ref="G1520:J1520" si="194">G1522</f>
        <v>0</v>
      </c>
      <c r="H1520" s="127">
        <f t="shared" si="194"/>
        <v>5620</v>
      </c>
      <c r="I1520" s="127">
        <f t="shared" si="194"/>
        <v>6310</v>
      </c>
      <c r="J1520" s="127">
        <f t="shared" si="194"/>
        <v>30958</v>
      </c>
      <c r="K1520" s="127">
        <f t="shared" si="183"/>
        <v>350663</v>
      </c>
      <c r="L1520" s="127">
        <f>L1522</f>
        <v>350091</v>
      </c>
      <c r="M1520" s="127">
        <f t="shared" si="184"/>
        <v>42316</v>
      </c>
      <c r="N1520" s="160">
        <f t="shared" si="186"/>
        <v>0.13749004954918365</v>
      </c>
      <c r="O1520" s="127">
        <f t="shared" si="185"/>
        <v>-572</v>
      </c>
      <c r="P1520" s="160">
        <f t="shared" si="187"/>
        <v>-1.6311957634538004E-3</v>
      </c>
    </row>
    <row r="1521" spans="1:16">
      <c r="E1521" s="450" t="s">
        <v>101</v>
      </c>
      <c r="F1521" s="127"/>
      <c r="G1521" s="135"/>
      <c r="H1521" s="136"/>
      <c r="I1521" s="136"/>
      <c r="J1521" s="136"/>
      <c r="K1521" s="127">
        <f t="shared" si="183"/>
        <v>0</v>
      </c>
      <c r="L1521" s="127">
        <v>0</v>
      </c>
      <c r="M1521" s="127">
        <f t="shared" si="184"/>
        <v>0</v>
      </c>
      <c r="N1521" s="160"/>
      <c r="O1521" s="127">
        <f t="shared" si="185"/>
        <v>0</v>
      </c>
      <c r="P1521" s="160"/>
    </row>
    <row r="1522" spans="1:16">
      <c r="E1522" s="336" t="s">
        <v>559</v>
      </c>
      <c r="F1522" s="268">
        <v>307775</v>
      </c>
      <c r="G1522" s="135"/>
      <c r="H1522" s="136">
        <v>5620</v>
      </c>
      <c r="I1522" s="136">
        <v>6310</v>
      </c>
      <c r="J1522" s="136">
        <v>30958</v>
      </c>
      <c r="K1522" s="268">
        <f t="shared" si="183"/>
        <v>350663</v>
      </c>
      <c r="L1522" s="268">
        <v>350091</v>
      </c>
      <c r="M1522" s="268">
        <f t="shared" si="184"/>
        <v>42316</v>
      </c>
      <c r="N1522" s="157">
        <f t="shared" si="186"/>
        <v>0.13749004954918365</v>
      </c>
      <c r="O1522" s="268">
        <f t="shared" si="185"/>
        <v>-572</v>
      </c>
      <c r="P1522" s="157">
        <f t="shared" si="187"/>
        <v>-1.6311957634538004E-3</v>
      </c>
    </row>
    <row r="1523" spans="1:16">
      <c r="E1523" s="323" t="s">
        <v>47</v>
      </c>
      <c r="F1523" s="124">
        <v>203431</v>
      </c>
      <c r="G1523" s="135"/>
      <c r="H1523" s="136"/>
      <c r="I1523" s="272">
        <v>3080</v>
      </c>
      <c r="J1523" s="272">
        <v>23137</v>
      </c>
      <c r="K1523" s="124">
        <f t="shared" si="183"/>
        <v>229648</v>
      </c>
      <c r="L1523" s="124">
        <v>230813</v>
      </c>
      <c r="M1523" s="124">
        <f t="shared" si="184"/>
        <v>27382</v>
      </c>
      <c r="N1523" s="270">
        <f t="shared" si="186"/>
        <v>0.13460092119686773</v>
      </c>
      <c r="O1523" s="124">
        <f t="shared" si="185"/>
        <v>1165</v>
      </c>
      <c r="P1523" s="270">
        <f t="shared" si="187"/>
        <v>5.0729812582735317E-3</v>
      </c>
    </row>
    <row r="1524" spans="1:16">
      <c r="E1524" s="323"/>
      <c r="F1524" s="124"/>
      <c r="G1524" s="135"/>
      <c r="H1524" s="136"/>
      <c r="I1524" s="136"/>
      <c r="J1524" s="136"/>
      <c r="K1524" s="124">
        <f t="shared" si="183"/>
        <v>0</v>
      </c>
      <c r="L1524" s="124">
        <v>0</v>
      </c>
      <c r="M1524" s="124">
        <f t="shared" si="184"/>
        <v>0</v>
      </c>
      <c r="N1524" s="270"/>
      <c r="O1524" s="124">
        <f t="shared" si="185"/>
        <v>0</v>
      </c>
      <c r="P1524" s="270"/>
    </row>
    <row r="1525" spans="1:16" ht="26.4">
      <c r="C1525" s="537"/>
      <c r="D1525" s="537"/>
      <c r="E1525" s="449" t="s">
        <v>167</v>
      </c>
      <c r="F1525" s="419">
        <f>F1527+F1531</f>
        <v>1159257</v>
      </c>
      <c r="G1525" s="135"/>
      <c r="H1525" s="136"/>
      <c r="I1525" s="123">
        <f>I1527+I1531</f>
        <v>-4240</v>
      </c>
      <c r="J1525" s="419">
        <f t="shared" ref="J1525" si="195">J1527+J1531</f>
        <v>88724</v>
      </c>
      <c r="K1525" s="419">
        <f t="shared" si="183"/>
        <v>1243741</v>
      </c>
      <c r="L1525" s="419">
        <f>L1527+L1531</f>
        <v>1264176</v>
      </c>
      <c r="M1525" s="419">
        <f t="shared" si="184"/>
        <v>104919</v>
      </c>
      <c r="N1525" s="370">
        <f t="shared" si="186"/>
        <v>9.0505384052026433E-2</v>
      </c>
      <c r="O1525" s="419">
        <f t="shared" si="185"/>
        <v>20435</v>
      </c>
      <c r="P1525" s="370">
        <f t="shared" si="187"/>
        <v>1.6430269646172314E-2</v>
      </c>
    </row>
    <row r="1526" spans="1:16">
      <c r="E1526" s="450" t="s">
        <v>101</v>
      </c>
      <c r="F1526" s="127"/>
      <c r="G1526" s="135"/>
      <c r="H1526" s="136"/>
      <c r="I1526" s="136"/>
      <c r="J1526" s="136"/>
      <c r="K1526" s="127">
        <f t="shared" si="183"/>
        <v>0</v>
      </c>
      <c r="L1526" s="127">
        <v>0</v>
      </c>
      <c r="M1526" s="127">
        <f t="shared" si="184"/>
        <v>0</v>
      </c>
      <c r="N1526" s="160"/>
      <c r="O1526" s="127">
        <f t="shared" si="185"/>
        <v>0</v>
      </c>
      <c r="P1526" s="160"/>
    </row>
    <row r="1527" spans="1:16">
      <c r="E1527" s="336" t="s">
        <v>560</v>
      </c>
      <c r="F1527" s="268">
        <v>298449</v>
      </c>
      <c r="G1527" s="135"/>
      <c r="H1527" s="136"/>
      <c r="I1527" s="136">
        <v>-4240</v>
      </c>
      <c r="J1527" s="136">
        <v>19121</v>
      </c>
      <c r="K1527" s="268">
        <f t="shared" si="183"/>
        <v>313330</v>
      </c>
      <c r="L1527" s="268">
        <v>321955</v>
      </c>
      <c r="M1527" s="268">
        <f t="shared" si="184"/>
        <v>23506</v>
      </c>
      <c r="N1527" s="157">
        <f t="shared" si="186"/>
        <v>7.8760525248869992E-2</v>
      </c>
      <c r="O1527" s="268">
        <f t="shared" si="185"/>
        <v>8625</v>
      </c>
      <c r="P1527" s="157">
        <f t="shared" si="187"/>
        <v>2.7526888583921105E-2</v>
      </c>
    </row>
    <row r="1528" spans="1:16">
      <c r="E1528" s="323" t="s">
        <v>47</v>
      </c>
      <c r="F1528" s="124">
        <v>188148</v>
      </c>
      <c r="G1528" s="135"/>
      <c r="H1528" s="136"/>
      <c r="I1528" s="136"/>
      <c r="J1528" s="272">
        <v>14290</v>
      </c>
      <c r="K1528" s="124">
        <f t="shared" si="183"/>
        <v>202438</v>
      </c>
      <c r="L1528" s="124">
        <v>204954</v>
      </c>
      <c r="M1528" s="124">
        <f t="shared" si="184"/>
        <v>16806</v>
      </c>
      <c r="N1528" s="270">
        <f t="shared" si="186"/>
        <v>8.9323298679762742E-2</v>
      </c>
      <c r="O1528" s="124">
        <f t="shared" si="185"/>
        <v>2516</v>
      </c>
      <c r="P1528" s="270">
        <f t="shared" si="187"/>
        <v>1.2428496626127506E-2</v>
      </c>
    </row>
    <row r="1529" spans="1:16">
      <c r="E1529" s="336"/>
      <c r="F1529" s="268"/>
      <c r="G1529" s="135"/>
      <c r="H1529" s="136"/>
      <c r="I1529" s="136"/>
      <c r="J1529" s="136"/>
      <c r="K1529" s="268">
        <f t="shared" si="183"/>
        <v>0</v>
      </c>
      <c r="L1529" s="268">
        <v>0</v>
      </c>
      <c r="M1529" s="268">
        <f t="shared" si="184"/>
        <v>0</v>
      </c>
      <c r="N1529" s="157"/>
      <c r="O1529" s="268">
        <f t="shared" si="185"/>
        <v>0</v>
      </c>
      <c r="P1529" s="157"/>
    </row>
    <row r="1530" spans="1:16">
      <c r="E1530" s="450" t="s">
        <v>101</v>
      </c>
      <c r="F1530" s="127"/>
      <c r="G1530" s="135"/>
      <c r="H1530" s="136"/>
      <c r="I1530" s="136"/>
      <c r="J1530" s="136"/>
      <c r="K1530" s="127">
        <f t="shared" si="183"/>
        <v>0</v>
      </c>
      <c r="L1530" s="127">
        <v>0</v>
      </c>
      <c r="M1530" s="127">
        <f t="shared" si="184"/>
        <v>0</v>
      </c>
      <c r="N1530" s="160"/>
      <c r="O1530" s="127">
        <f t="shared" si="185"/>
        <v>0</v>
      </c>
      <c r="P1530" s="160"/>
    </row>
    <row r="1531" spans="1:16">
      <c r="E1531" s="336" t="s">
        <v>561</v>
      </c>
      <c r="F1531" s="268">
        <v>860808</v>
      </c>
      <c r="G1531" s="135"/>
      <c r="H1531" s="136"/>
      <c r="I1531" s="136"/>
      <c r="J1531" s="136">
        <v>69603</v>
      </c>
      <c r="K1531" s="268">
        <f t="shared" si="183"/>
        <v>930411</v>
      </c>
      <c r="L1531" s="268">
        <v>942221</v>
      </c>
      <c r="M1531" s="268">
        <f t="shared" si="184"/>
        <v>81413</v>
      </c>
      <c r="N1531" s="157">
        <f t="shared" si="186"/>
        <v>9.4577420284198105E-2</v>
      </c>
      <c r="O1531" s="268">
        <f t="shared" si="185"/>
        <v>11810</v>
      </c>
      <c r="P1531" s="157">
        <f t="shared" si="187"/>
        <v>1.2693315104830016E-2</v>
      </c>
    </row>
    <row r="1532" spans="1:16">
      <c r="E1532" s="323" t="s">
        <v>47</v>
      </c>
      <c r="F1532" s="124">
        <v>629723</v>
      </c>
      <c r="G1532" s="135"/>
      <c r="H1532" s="136"/>
      <c r="I1532" s="136"/>
      <c r="J1532" s="272">
        <v>52020</v>
      </c>
      <c r="K1532" s="124">
        <f t="shared" si="183"/>
        <v>681743</v>
      </c>
      <c r="L1532" s="124">
        <v>692147</v>
      </c>
      <c r="M1532" s="124">
        <f t="shared" si="184"/>
        <v>62424</v>
      </c>
      <c r="N1532" s="270">
        <f t="shared" si="186"/>
        <v>9.9129299707966842E-2</v>
      </c>
      <c r="O1532" s="124">
        <f t="shared" si="185"/>
        <v>10404</v>
      </c>
      <c r="P1532" s="270">
        <f t="shared" si="187"/>
        <v>1.5260882766673072E-2</v>
      </c>
    </row>
    <row r="1533" spans="1:16">
      <c r="E1533" s="37"/>
      <c r="F1533" s="47"/>
      <c r="G1533" s="135"/>
      <c r="H1533" s="136"/>
      <c r="I1533" s="136"/>
      <c r="J1533" s="136"/>
      <c r="K1533" s="47">
        <f t="shared" si="183"/>
        <v>0</v>
      </c>
      <c r="L1533" s="47">
        <v>0</v>
      </c>
      <c r="M1533" s="47">
        <f t="shared" si="184"/>
        <v>0</v>
      </c>
      <c r="N1533" s="96"/>
      <c r="O1533" s="47">
        <f t="shared" si="185"/>
        <v>0</v>
      </c>
      <c r="P1533" s="96"/>
    </row>
    <row r="1534" spans="1:16" ht="13.8">
      <c r="A1534" s="77" t="s">
        <v>679</v>
      </c>
      <c r="B1534" s="77" t="s">
        <v>174</v>
      </c>
      <c r="C1534" s="537"/>
      <c r="D1534" s="537"/>
      <c r="E1534" s="443" t="s">
        <v>163</v>
      </c>
      <c r="F1534" s="444">
        <f>F1535</f>
        <v>520500</v>
      </c>
      <c r="G1534" s="444">
        <f t="shared" ref="G1534:H1534" si="196">G1535</f>
        <v>0</v>
      </c>
      <c r="H1534" s="444">
        <f t="shared" si="196"/>
        <v>867</v>
      </c>
      <c r="I1534" s="444"/>
      <c r="J1534" s="136"/>
      <c r="K1534" s="444">
        <f t="shared" si="183"/>
        <v>521367</v>
      </c>
      <c r="L1534" s="444">
        <f>L1535</f>
        <v>472500</v>
      </c>
      <c r="M1534" s="444">
        <f t="shared" si="184"/>
        <v>-48000</v>
      </c>
      <c r="N1534" s="313">
        <f t="shared" si="186"/>
        <v>-9.2219020172910657E-2</v>
      </c>
      <c r="O1534" s="444">
        <f t="shared" si="185"/>
        <v>-48867</v>
      </c>
      <c r="P1534" s="313">
        <f t="shared" si="187"/>
        <v>-9.3728601925323243E-2</v>
      </c>
    </row>
    <row r="1535" spans="1:16">
      <c r="C1535" s="537" t="s">
        <v>1021</v>
      </c>
      <c r="D1535" s="537" t="s">
        <v>949</v>
      </c>
      <c r="E1535" s="339" t="s">
        <v>164</v>
      </c>
      <c r="F1535" s="123">
        <v>520500</v>
      </c>
      <c r="G1535" s="135"/>
      <c r="H1535" s="123">
        <v>867</v>
      </c>
      <c r="I1535" s="123"/>
      <c r="J1535" s="136"/>
      <c r="K1535" s="123">
        <f t="shared" si="183"/>
        <v>521367</v>
      </c>
      <c r="L1535" s="123">
        <v>472500</v>
      </c>
      <c r="M1535" s="123">
        <f t="shared" si="184"/>
        <v>-48000</v>
      </c>
      <c r="N1535" s="160">
        <f t="shared" si="186"/>
        <v>-9.2219020172910657E-2</v>
      </c>
      <c r="O1535" s="123">
        <f t="shared" si="185"/>
        <v>-48867</v>
      </c>
      <c r="P1535" s="160">
        <f t="shared" si="187"/>
        <v>-9.3728601925323243E-2</v>
      </c>
    </row>
    <row r="1536" spans="1:16">
      <c r="E1536" s="323" t="s">
        <v>47</v>
      </c>
      <c r="F1536" s="124">
        <v>12000</v>
      </c>
      <c r="G1536" s="135"/>
      <c r="H1536" s="272">
        <v>468</v>
      </c>
      <c r="I1536" s="272"/>
      <c r="J1536" s="136"/>
      <c r="K1536" s="124">
        <f t="shared" si="183"/>
        <v>12468</v>
      </c>
      <c r="L1536" s="124">
        <v>12648</v>
      </c>
      <c r="M1536" s="124">
        <f t="shared" si="184"/>
        <v>648</v>
      </c>
      <c r="N1536" s="270">
        <f t="shared" si="186"/>
        <v>5.3999999999999999E-2</v>
      </c>
      <c r="O1536" s="124">
        <f t="shared" si="185"/>
        <v>180</v>
      </c>
      <c r="P1536" s="270">
        <f t="shared" si="187"/>
        <v>1.4436958614051972E-2</v>
      </c>
    </row>
    <row r="1537" spans="1:16">
      <c r="E1537" s="147"/>
      <c r="F1537" s="136"/>
      <c r="G1537" s="135"/>
      <c r="H1537" s="136"/>
      <c r="I1537" s="136"/>
      <c r="J1537" s="136"/>
      <c r="K1537" s="136">
        <f t="shared" si="183"/>
        <v>0</v>
      </c>
      <c r="L1537" s="136">
        <v>0</v>
      </c>
      <c r="M1537" s="136">
        <f t="shared" si="184"/>
        <v>0</v>
      </c>
      <c r="N1537" s="157"/>
      <c r="O1537" s="136">
        <f t="shared" si="185"/>
        <v>0</v>
      </c>
      <c r="P1537" s="157"/>
    </row>
    <row r="1538" spans="1:16">
      <c r="E1538" s="426" t="s">
        <v>102</v>
      </c>
      <c r="F1538" s="427">
        <f>F1540+F1543+F1552+F1554+F1558+F1560+F1563+F1548+F1556</f>
        <v>3963452</v>
      </c>
      <c r="G1538" s="427">
        <f t="shared" ref="G1538:J1538" si="197">G1540+G1543+G1552+G1554+G1558+G1560+G1563+G1548+G1556</f>
        <v>0</v>
      </c>
      <c r="H1538" s="427">
        <f t="shared" si="197"/>
        <v>102110</v>
      </c>
      <c r="I1538" s="427">
        <f t="shared" si="197"/>
        <v>184725</v>
      </c>
      <c r="J1538" s="427">
        <f t="shared" si="197"/>
        <v>307124</v>
      </c>
      <c r="K1538" s="427">
        <f t="shared" si="183"/>
        <v>4557411</v>
      </c>
      <c r="L1538" s="427">
        <f>L1540+L1543+L1548+L1552+L1554+L1556+L1558+L1560+L1563+L1550</f>
        <v>4188820</v>
      </c>
      <c r="M1538" s="427">
        <f t="shared" si="184"/>
        <v>225368</v>
      </c>
      <c r="N1538" s="370">
        <f t="shared" si="186"/>
        <v>5.6861543926859714E-2</v>
      </c>
      <c r="O1538" s="427">
        <f t="shared" si="185"/>
        <v>-368591</v>
      </c>
      <c r="P1538" s="370">
        <f t="shared" si="187"/>
        <v>-8.0877278788329607E-2</v>
      </c>
    </row>
    <row r="1539" spans="1:16">
      <c r="E1539" s="426"/>
      <c r="F1539" s="427"/>
      <c r="G1539" s="135"/>
      <c r="H1539" s="136"/>
      <c r="I1539" s="136"/>
      <c r="J1539" s="136"/>
      <c r="K1539" s="427">
        <f t="shared" si="183"/>
        <v>0</v>
      </c>
      <c r="L1539" s="427">
        <v>0</v>
      </c>
      <c r="M1539" s="427">
        <f t="shared" si="184"/>
        <v>0</v>
      </c>
      <c r="N1539" s="370"/>
      <c r="O1539" s="427">
        <f t="shared" si="185"/>
        <v>0</v>
      </c>
      <c r="P1539" s="370"/>
    </row>
    <row r="1540" spans="1:16">
      <c r="A1540" s="77" t="s">
        <v>670</v>
      </c>
      <c r="B1540" s="77" t="s">
        <v>174</v>
      </c>
      <c r="C1540" s="537"/>
      <c r="D1540" s="537"/>
      <c r="E1540" s="267" t="s">
        <v>168</v>
      </c>
      <c r="F1540" s="268">
        <v>3096727</v>
      </c>
      <c r="G1540" s="135"/>
      <c r="H1540" s="136">
        <v>67550</v>
      </c>
      <c r="I1540" s="136">
        <v>-5225</v>
      </c>
      <c r="J1540" s="136">
        <v>296833</v>
      </c>
      <c r="K1540" s="268">
        <f t="shared" si="183"/>
        <v>3455885</v>
      </c>
      <c r="L1540" s="268">
        <v>3193435</v>
      </c>
      <c r="M1540" s="268">
        <f t="shared" si="184"/>
        <v>96708</v>
      </c>
      <c r="N1540" s="157">
        <f t="shared" si="186"/>
        <v>3.1229100918485873E-2</v>
      </c>
      <c r="O1540" s="268">
        <f t="shared" si="185"/>
        <v>-262450</v>
      </c>
      <c r="P1540" s="157">
        <f t="shared" si="187"/>
        <v>-7.5942920554358723E-2</v>
      </c>
    </row>
    <row r="1541" spans="1:16">
      <c r="E1541" s="130" t="s">
        <v>47</v>
      </c>
      <c r="F1541" s="124">
        <v>1824320</v>
      </c>
      <c r="G1541" s="135"/>
      <c r="H1541" s="272">
        <v>50486</v>
      </c>
      <c r="I1541" s="272">
        <v>-11096</v>
      </c>
      <c r="J1541" s="272">
        <v>221848</v>
      </c>
      <c r="K1541" s="124">
        <f t="shared" si="183"/>
        <v>2085558</v>
      </c>
      <c r="L1541" s="124">
        <v>2228719</v>
      </c>
      <c r="M1541" s="124">
        <f t="shared" si="184"/>
        <v>404399</v>
      </c>
      <c r="N1541" s="270">
        <f t="shared" si="186"/>
        <v>0.22167108840554289</v>
      </c>
      <c r="O1541" s="124">
        <f t="shared" si="185"/>
        <v>143161</v>
      </c>
      <c r="P1541" s="270">
        <f t="shared" si="187"/>
        <v>6.8643979213236936E-2</v>
      </c>
    </row>
    <row r="1542" spans="1:16">
      <c r="E1542" s="104"/>
      <c r="F1542" s="136"/>
      <c r="G1542" s="135"/>
      <c r="H1542" s="136"/>
      <c r="I1542" s="136"/>
      <c r="J1542" s="136"/>
      <c r="K1542" s="136">
        <f t="shared" si="183"/>
        <v>0</v>
      </c>
      <c r="L1542" s="136">
        <v>0</v>
      </c>
      <c r="M1542" s="136">
        <f t="shared" si="184"/>
        <v>0</v>
      </c>
      <c r="N1542" s="157"/>
      <c r="O1542" s="136">
        <f t="shared" si="185"/>
        <v>0</v>
      </c>
      <c r="P1542" s="157"/>
    </row>
    <row r="1543" spans="1:16">
      <c r="E1543" s="290" t="s">
        <v>387</v>
      </c>
      <c r="F1543" s="291">
        <v>223725</v>
      </c>
      <c r="G1543" s="291"/>
      <c r="H1543" s="291">
        <f>H1546</f>
        <v>5000</v>
      </c>
      <c r="I1543" s="291">
        <f>I1546</f>
        <v>14500</v>
      </c>
      <c r="J1543" s="136"/>
      <c r="K1543" s="291">
        <f t="shared" si="183"/>
        <v>243225</v>
      </c>
      <c r="L1543" s="291">
        <v>307300</v>
      </c>
      <c r="M1543" s="291">
        <f t="shared" si="184"/>
        <v>83575</v>
      </c>
      <c r="N1543" s="282">
        <f t="shared" si="186"/>
        <v>0.37356129176444297</v>
      </c>
      <c r="O1543" s="291">
        <f t="shared" si="185"/>
        <v>64075</v>
      </c>
      <c r="P1543" s="282">
        <f t="shared" si="187"/>
        <v>0.26343920238462332</v>
      </c>
    </row>
    <row r="1544" spans="1:16">
      <c r="A1544" s="77" t="s">
        <v>674</v>
      </c>
      <c r="B1544" s="77" t="s">
        <v>174</v>
      </c>
      <c r="C1544" s="537"/>
      <c r="D1544" s="537"/>
      <c r="E1544" s="130" t="s">
        <v>562</v>
      </c>
      <c r="F1544" s="124">
        <v>58725</v>
      </c>
      <c r="G1544" s="135"/>
      <c r="H1544" s="136"/>
      <c r="I1544" s="136"/>
      <c r="J1544" s="136"/>
      <c r="K1544" s="124">
        <f t="shared" ref="K1544:K1607" si="198">F1544+G1544+H1544+J1544+I1544</f>
        <v>58725</v>
      </c>
      <c r="L1544" s="124">
        <v>58725</v>
      </c>
      <c r="M1544" s="124">
        <f t="shared" ref="M1544:M1607" si="199">L1544-F1544</f>
        <v>0</v>
      </c>
      <c r="N1544" s="270">
        <f t="shared" ref="N1544:N1606" si="200">M1544/F1544</f>
        <v>0</v>
      </c>
      <c r="O1544" s="124">
        <f t="shared" ref="O1544:O1607" si="201">L1544-K1544</f>
        <v>0</v>
      </c>
      <c r="P1544" s="270">
        <f t="shared" ref="P1544:P1605" si="202">O1544/K1544</f>
        <v>0</v>
      </c>
    </row>
    <row r="1545" spans="1:16">
      <c r="E1545" s="459" t="s">
        <v>47</v>
      </c>
      <c r="F1545" s="124">
        <v>17400</v>
      </c>
      <c r="G1545" s="135"/>
      <c r="H1545" s="136"/>
      <c r="I1545" s="136"/>
      <c r="J1545" s="136"/>
      <c r="K1545" s="124">
        <f t="shared" si="198"/>
        <v>17400</v>
      </c>
      <c r="L1545" s="124">
        <v>17400</v>
      </c>
      <c r="M1545" s="124">
        <f t="shared" si="199"/>
        <v>0</v>
      </c>
      <c r="N1545" s="270">
        <f t="shared" si="200"/>
        <v>0</v>
      </c>
      <c r="O1545" s="124">
        <f t="shared" si="201"/>
        <v>0</v>
      </c>
      <c r="P1545" s="270">
        <f t="shared" si="202"/>
        <v>0</v>
      </c>
    </row>
    <row r="1546" spans="1:16">
      <c r="A1546" s="77" t="s">
        <v>672</v>
      </c>
      <c r="B1546" s="77" t="s">
        <v>174</v>
      </c>
      <c r="C1546" s="537"/>
      <c r="D1546" s="537"/>
      <c r="E1546" s="130" t="s">
        <v>563</v>
      </c>
      <c r="F1546" s="124">
        <v>165000</v>
      </c>
      <c r="G1546" s="135"/>
      <c r="H1546" s="272">
        <v>5000</v>
      </c>
      <c r="I1546" s="272">
        <v>14500</v>
      </c>
      <c r="J1546" s="136"/>
      <c r="K1546" s="124">
        <f t="shared" si="198"/>
        <v>184500</v>
      </c>
      <c r="L1546" s="124">
        <v>248575</v>
      </c>
      <c r="M1546" s="124">
        <f t="shared" si="199"/>
        <v>83575</v>
      </c>
      <c r="N1546" s="270">
        <f t="shared" si="200"/>
        <v>0.50651515151515147</v>
      </c>
      <c r="O1546" s="124">
        <f t="shared" si="201"/>
        <v>64075</v>
      </c>
      <c r="P1546" s="270">
        <f t="shared" si="202"/>
        <v>0.34728997289972902</v>
      </c>
    </row>
    <row r="1547" spans="1:16">
      <c r="E1547" s="104"/>
      <c r="F1547" s="136"/>
      <c r="G1547" s="135"/>
      <c r="H1547" s="136"/>
      <c r="I1547" s="136"/>
      <c r="J1547" s="136"/>
      <c r="K1547" s="136">
        <f t="shared" si="198"/>
        <v>0</v>
      </c>
      <c r="L1547" s="136">
        <v>0</v>
      </c>
      <c r="M1547" s="136">
        <f t="shared" si="199"/>
        <v>0</v>
      </c>
      <c r="N1547" s="157"/>
      <c r="O1547" s="136">
        <f t="shared" si="201"/>
        <v>0</v>
      </c>
      <c r="P1547" s="157"/>
    </row>
    <row r="1548" spans="1:16">
      <c r="A1548" s="77" t="s">
        <v>672</v>
      </c>
      <c r="B1548" s="77" t="s">
        <v>174</v>
      </c>
      <c r="C1548" s="537"/>
      <c r="D1548" s="537"/>
      <c r="E1548" s="104" t="s">
        <v>141</v>
      </c>
      <c r="F1548" s="136">
        <v>7000</v>
      </c>
      <c r="G1548" s="135"/>
      <c r="H1548" s="136">
        <v>5000</v>
      </c>
      <c r="I1548" s="136"/>
      <c r="J1548" s="136"/>
      <c r="K1548" s="136">
        <f t="shared" si="198"/>
        <v>12000</v>
      </c>
      <c r="L1548" s="136">
        <v>12000</v>
      </c>
      <c r="M1548" s="136">
        <f t="shared" si="199"/>
        <v>5000</v>
      </c>
      <c r="N1548" s="157">
        <f t="shared" si="200"/>
        <v>0.7142857142857143</v>
      </c>
      <c r="O1548" s="136">
        <f t="shared" si="201"/>
        <v>0</v>
      </c>
      <c r="P1548" s="157">
        <f t="shared" si="202"/>
        <v>0</v>
      </c>
    </row>
    <row r="1549" spans="1:16">
      <c r="E1549" s="104"/>
      <c r="F1549" s="136"/>
      <c r="G1549" s="135"/>
      <c r="H1549" s="136"/>
      <c r="I1549" s="136"/>
      <c r="J1549" s="136"/>
      <c r="K1549" s="136">
        <f t="shared" si="198"/>
        <v>0</v>
      </c>
      <c r="L1549" s="136">
        <v>0</v>
      </c>
      <c r="M1549" s="136">
        <f t="shared" si="199"/>
        <v>0</v>
      </c>
      <c r="N1549" s="157"/>
      <c r="O1549" s="136">
        <f t="shared" si="201"/>
        <v>0</v>
      </c>
      <c r="P1549" s="157"/>
    </row>
    <row r="1550" spans="1:16">
      <c r="A1550" s="77" t="s">
        <v>659</v>
      </c>
      <c r="B1550" s="77" t="s">
        <v>174</v>
      </c>
      <c r="E1550" s="104" t="s">
        <v>1196</v>
      </c>
      <c r="F1550" s="136"/>
      <c r="G1550" s="135"/>
      <c r="H1550" s="136"/>
      <c r="I1550" s="136"/>
      <c r="J1550" s="136"/>
      <c r="K1550" s="136">
        <f t="shared" si="198"/>
        <v>0</v>
      </c>
      <c r="L1550" s="136">
        <v>15000</v>
      </c>
      <c r="M1550" s="136">
        <f t="shared" si="199"/>
        <v>15000</v>
      </c>
      <c r="N1550" s="157"/>
      <c r="O1550" s="136">
        <f t="shared" si="201"/>
        <v>15000</v>
      </c>
      <c r="P1550" s="157"/>
    </row>
    <row r="1551" spans="1:16">
      <c r="E1551" s="104"/>
      <c r="F1551" s="136"/>
      <c r="G1551" s="135"/>
      <c r="H1551" s="136"/>
      <c r="I1551" s="136"/>
      <c r="J1551" s="136"/>
      <c r="K1551" s="136">
        <f t="shared" si="198"/>
        <v>0</v>
      </c>
      <c r="L1551" s="136">
        <v>0</v>
      </c>
      <c r="M1551" s="136">
        <f t="shared" si="199"/>
        <v>0</v>
      </c>
      <c r="N1551" s="157"/>
      <c r="O1551" s="136">
        <f t="shared" si="201"/>
        <v>0</v>
      </c>
      <c r="P1551" s="157"/>
    </row>
    <row r="1552" spans="1:16">
      <c r="A1552" s="77" t="s">
        <v>675</v>
      </c>
      <c r="B1552" s="77" t="s">
        <v>174</v>
      </c>
      <c r="C1552" s="537"/>
      <c r="D1552" s="537"/>
      <c r="E1552" s="290" t="s">
        <v>169</v>
      </c>
      <c r="F1552" s="291">
        <v>80000</v>
      </c>
      <c r="G1552" s="135"/>
      <c r="H1552" s="136"/>
      <c r="I1552" s="136"/>
      <c r="J1552" s="136"/>
      <c r="K1552" s="291">
        <f t="shared" si="198"/>
        <v>80000</v>
      </c>
      <c r="L1552" s="291">
        <v>80000</v>
      </c>
      <c r="M1552" s="291">
        <f t="shared" si="199"/>
        <v>0</v>
      </c>
      <c r="N1552" s="282">
        <f t="shared" si="200"/>
        <v>0</v>
      </c>
      <c r="O1552" s="291">
        <f t="shared" si="201"/>
        <v>0</v>
      </c>
      <c r="P1552" s="282">
        <f t="shared" si="202"/>
        <v>0</v>
      </c>
    </row>
    <row r="1553" spans="1:16">
      <c r="E1553" s="104"/>
      <c r="F1553" s="136"/>
      <c r="G1553" s="135"/>
      <c r="H1553" s="136"/>
      <c r="I1553" s="136"/>
      <c r="J1553" s="136"/>
      <c r="K1553" s="136">
        <f t="shared" si="198"/>
        <v>0</v>
      </c>
      <c r="L1553" s="136">
        <v>0</v>
      </c>
      <c r="M1553" s="136">
        <f t="shared" si="199"/>
        <v>0</v>
      </c>
      <c r="N1553" s="157"/>
      <c r="O1553" s="136">
        <f t="shared" si="201"/>
        <v>0</v>
      </c>
      <c r="P1553" s="157"/>
    </row>
    <row r="1554" spans="1:16">
      <c r="A1554" s="77" t="s">
        <v>679</v>
      </c>
      <c r="B1554" s="77" t="s">
        <v>174</v>
      </c>
      <c r="C1554" s="537" t="s">
        <v>1021</v>
      </c>
      <c r="D1554" s="537" t="s">
        <v>1007</v>
      </c>
      <c r="E1554" s="290" t="s">
        <v>165</v>
      </c>
      <c r="F1554" s="291">
        <v>193000</v>
      </c>
      <c r="G1554" s="135"/>
      <c r="H1554" s="136"/>
      <c r="I1554" s="136">
        <v>164650</v>
      </c>
      <c r="J1554" s="136"/>
      <c r="K1554" s="291">
        <f t="shared" si="198"/>
        <v>357650</v>
      </c>
      <c r="L1554" s="291">
        <v>173700</v>
      </c>
      <c r="M1554" s="291">
        <f t="shared" si="199"/>
        <v>-19300</v>
      </c>
      <c r="N1554" s="282">
        <f t="shared" si="200"/>
        <v>-0.1</v>
      </c>
      <c r="O1554" s="291">
        <f t="shared" si="201"/>
        <v>-183950</v>
      </c>
      <c r="P1554" s="282">
        <f t="shared" si="202"/>
        <v>-0.51432965189431012</v>
      </c>
    </row>
    <row r="1555" spans="1:16">
      <c r="E1555" s="290"/>
      <c r="F1555" s="291"/>
      <c r="G1555" s="135"/>
      <c r="H1555" s="136"/>
      <c r="I1555" s="136"/>
      <c r="J1555" s="136"/>
      <c r="K1555" s="291">
        <f t="shared" si="198"/>
        <v>0</v>
      </c>
      <c r="L1555" s="291">
        <v>0</v>
      </c>
      <c r="M1555" s="291">
        <f t="shared" si="199"/>
        <v>0</v>
      </c>
      <c r="N1555" s="282"/>
      <c r="O1555" s="291">
        <f t="shared" si="201"/>
        <v>0</v>
      </c>
      <c r="P1555" s="282"/>
    </row>
    <row r="1556" spans="1:16">
      <c r="A1556" s="77" t="s">
        <v>678</v>
      </c>
      <c r="B1556" s="77" t="s">
        <v>174</v>
      </c>
      <c r="C1556" s="537" t="s">
        <v>1028</v>
      </c>
      <c r="D1556" s="537" t="s">
        <v>966</v>
      </c>
      <c r="E1556" s="273" t="s">
        <v>171</v>
      </c>
      <c r="F1556" s="131">
        <v>78500</v>
      </c>
      <c r="G1556" s="135"/>
      <c r="H1556" s="136"/>
      <c r="I1556" s="136">
        <v>16700</v>
      </c>
      <c r="J1556" s="136"/>
      <c r="K1556" s="131">
        <f t="shared" si="198"/>
        <v>95200</v>
      </c>
      <c r="L1556" s="131">
        <v>94700</v>
      </c>
      <c r="M1556" s="131">
        <f t="shared" si="199"/>
        <v>16200</v>
      </c>
      <c r="N1556" s="157">
        <f t="shared" si="200"/>
        <v>0.20636942675159237</v>
      </c>
      <c r="O1556" s="131">
        <f t="shared" si="201"/>
        <v>-500</v>
      </c>
      <c r="P1556" s="157">
        <f t="shared" si="202"/>
        <v>-5.2521008403361349E-3</v>
      </c>
    </row>
    <row r="1557" spans="1:16">
      <c r="E1557" s="290"/>
      <c r="F1557" s="291"/>
      <c r="G1557" s="135"/>
      <c r="H1557" s="136"/>
      <c r="I1557" s="136"/>
      <c r="J1557" s="136"/>
      <c r="K1557" s="291">
        <f t="shared" si="198"/>
        <v>0</v>
      </c>
      <c r="L1557" s="291">
        <v>0</v>
      </c>
      <c r="M1557" s="291">
        <f t="shared" si="199"/>
        <v>0</v>
      </c>
      <c r="N1557" s="282"/>
      <c r="O1557" s="291">
        <f t="shared" si="201"/>
        <v>0</v>
      </c>
      <c r="P1557" s="282"/>
    </row>
    <row r="1558" spans="1:16">
      <c r="A1558" s="77" t="s">
        <v>678</v>
      </c>
      <c r="B1558" s="77" t="s">
        <v>174</v>
      </c>
      <c r="C1558" s="537" t="s">
        <v>1028</v>
      </c>
      <c r="D1558" s="537" t="s">
        <v>966</v>
      </c>
      <c r="E1558" s="273" t="s">
        <v>154</v>
      </c>
      <c r="F1558" s="131">
        <v>75500</v>
      </c>
      <c r="G1558" s="135"/>
      <c r="H1558" s="136"/>
      <c r="I1558" s="136">
        <v>25100</v>
      </c>
      <c r="J1558" s="136"/>
      <c r="K1558" s="131">
        <f t="shared" si="198"/>
        <v>100600</v>
      </c>
      <c r="L1558" s="131">
        <v>88100</v>
      </c>
      <c r="M1558" s="131">
        <f t="shared" si="199"/>
        <v>12600</v>
      </c>
      <c r="N1558" s="157">
        <f t="shared" si="200"/>
        <v>0.16688741721854305</v>
      </c>
      <c r="O1558" s="131">
        <f t="shared" si="201"/>
        <v>-12500</v>
      </c>
      <c r="P1558" s="157">
        <f t="shared" si="202"/>
        <v>-0.1242544731610338</v>
      </c>
    </row>
    <row r="1559" spans="1:16">
      <c r="E1559" s="271"/>
      <c r="F1559" s="128"/>
      <c r="G1559" s="135"/>
      <c r="H1559" s="136"/>
      <c r="I1559" s="136"/>
      <c r="J1559" s="136"/>
      <c r="K1559" s="128">
        <f t="shared" si="198"/>
        <v>0</v>
      </c>
      <c r="L1559" s="128">
        <v>0</v>
      </c>
      <c r="M1559" s="128">
        <f t="shared" si="199"/>
        <v>0</v>
      </c>
      <c r="N1559" s="91"/>
      <c r="O1559" s="128">
        <f t="shared" si="201"/>
        <v>0</v>
      </c>
      <c r="P1559" s="91"/>
    </row>
    <row r="1560" spans="1:16">
      <c r="A1560" s="77" t="s">
        <v>678</v>
      </c>
      <c r="B1560" s="77" t="s">
        <v>174</v>
      </c>
      <c r="C1560" s="537"/>
      <c r="D1560" s="537"/>
      <c r="E1560" s="267" t="s">
        <v>564</v>
      </c>
      <c r="F1560" s="268">
        <v>190000</v>
      </c>
      <c r="G1560" s="135"/>
      <c r="H1560" s="136">
        <v>34560</v>
      </c>
      <c r="I1560" s="136">
        <v>-24000</v>
      </c>
      <c r="J1560" s="136">
        <v>10291</v>
      </c>
      <c r="K1560" s="268">
        <f t="shared" si="198"/>
        <v>210851</v>
      </c>
      <c r="L1560" s="268">
        <v>204585</v>
      </c>
      <c r="M1560" s="268">
        <f t="shared" si="199"/>
        <v>14585</v>
      </c>
      <c r="N1560" s="157">
        <f t="shared" si="200"/>
        <v>7.6763157894736839E-2</v>
      </c>
      <c r="O1560" s="268">
        <f t="shared" si="201"/>
        <v>-6266</v>
      </c>
      <c r="P1560" s="157">
        <f t="shared" si="202"/>
        <v>-2.9717667926640139E-2</v>
      </c>
    </row>
    <row r="1561" spans="1:16">
      <c r="E1561" s="130" t="s">
        <v>47</v>
      </c>
      <c r="F1561" s="124">
        <v>96120</v>
      </c>
      <c r="G1561" s="135"/>
      <c r="H1561" s="136"/>
      <c r="I1561" s="136"/>
      <c r="J1561" s="272">
        <v>7691</v>
      </c>
      <c r="K1561" s="124">
        <f t="shared" si="198"/>
        <v>103811</v>
      </c>
      <c r="L1561" s="124">
        <v>105178</v>
      </c>
      <c r="M1561" s="124">
        <f t="shared" si="199"/>
        <v>9058</v>
      </c>
      <c r="N1561" s="270">
        <f t="shared" si="200"/>
        <v>9.4236371202663344E-2</v>
      </c>
      <c r="O1561" s="124">
        <f t="shared" si="201"/>
        <v>1367</v>
      </c>
      <c r="P1561" s="270">
        <f t="shared" si="202"/>
        <v>1.3168161370182351E-2</v>
      </c>
    </row>
    <row r="1562" spans="1:16">
      <c r="E1562" s="271"/>
      <c r="F1562" s="128"/>
      <c r="G1562" s="135"/>
      <c r="H1562" s="136"/>
      <c r="I1562" s="136"/>
      <c r="J1562" s="136"/>
      <c r="K1562" s="128">
        <f t="shared" si="198"/>
        <v>0</v>
      </c>
      <c r="L1562" s="128">
        <v>0</v>
      </c>
      <c r="M1562" s="128">
        <f t="shared" si="199"/>
        <v>0</v>
      </c>
      <c r="N1562" s="91"/>
      <c r="O1562" s="128">
        <f t="shared" si="201"/>
        <v>0</v>
      </c>
      <c r="P1562" s="91"/>
    </row>
    <row r="1563" spans="1:16">
      <c r="A1563" s="77" t="s">
        <v>692</v>
      </c>
      <c r="B1563" s="77" t="s">
        <v>174</v>
      </c>
      <c r="C1563" s="537"/>
      <c r="D1563" s="537"/>
      <c r="E1563" s="273" t="s">
        <v>172</v>
      </c>
      <c r="F1563" s="131">
        <v>19000</v>
      </c>
      <c r="G1563" s="135"/>
      <c r="H1563" s="136">
        <v>-10000</v>
      </c>
      <c r="I1563" s="136">
        <v>-7000</v>
      </c>
      <c r="J1563" s="136"/>
      <c r="K1563" s="131">
        <f t="shared" si="198"/>
        <v>2000</v>
      </c>
      <c r="L1563" s="131">
        <v>20000</v>
      </c>
      <c r="M1563" s="131">
        <f t="shared" si="199"/>
        <v>1000</v>
      </c>
      <c r="N1563" s="157">
        <f t="shared" si="200"/>
        <v>5.2631578947368418E-2</v>
      </c>
      <c r="O1563" s="131">
        <f t="shared" si="201"/>
        <v>18000</v>
      </c>
      <c r="P1563" s="157">
        <f t="shared" si="202"/>
        <v>9</v>
      </c>
    </row>
    <row r="1564" spans="1:16">
      <c r="E1564" s="147"/>
      <c r="F1564" s="136"/>
      <c r="G1564" s="135"/>
      <c r="H1564" s="136"/>
      <c r="I1564" s="136"/>
      <c r="J1564" s="135"/>
      <c r="K1564" s="136">
        <f t="shared" si="198"/>
        <v>0</v>
      </c>
      <c r="L1564" s="136">
        <v>0</v>
      </c>
      <c r="M1564" s="136">
        <f t="shared" si="199"/>
        <v>0</v>
      </c>
      <c r="N1564" s="157"/>
      <c r="O1564" s="136">
        <f t="shared" si="201"/>
        <v>0</v>
      </c>
      <c r="P1564" s="157"/>
    </row>
    <row r="1565" spans="1:16">
      <c r="E1565" s="147"/>
      <c r="F1565" s="136"/>
      <c r="G1565" s="135"/>
      <c r="H1565" s="136"/>
      <c r="I1565" s="136"/>
      <c r="J1565" s="135"/>
      <c r="K1565" s="136">
        <f t="shared" si="198"/>
        <v>0</v>
      </c>
      <c r="L1565" s="136">
        <v>0</v>
      </c>
      <c r="M1565" s="136">
        <f t="shared" si="199"/>
        <v>0</v>
      </c>
      <c r="N1565" s="157"/>
      <c r="O1565" s="136">
        <f t="shared" si="201"/>
        <v>0</v>
      </c>
      <c r="P1565" s="157"/>
    </row>
    <row r="1566" spans="1:16" ht="15.6">
      <c r="E1566" s="259" t="s">
        <v>175</v>
      </c>
      <c r="F1566" s="260"/>
      <c r="G1566" s="135"/>
      <c r="H1566" s="136"/>
      <c r="I1566" s="136"/>
      <c r="J1566" s="135"/>
      <c r="K1566" s="260">
        <f t="shared" si="198"/>
        <v>0</v>
      </c>
      <c r="L1566" s="260">
        <v>0</v>
      </c>
      <c r="M1566" s="260">
        <f t="shared" si="199"/>
        <v>0</v>
      </c>
      <c r="N1566" s="275"/>
      <c r="O1566" s="260">
        <f t="shared" si="201"/>
        <v>0</v>
      </c>
      <c r="P1566" s="275"/>
    </row>
    <row r="1567" spans="1:16">
      <c r="E1567" s="147"/>
      <c r="F1567" s="136"/>
      <c r="G1567" s="135"/>
      <c r="H1567" s="136"/>
      <c r="I1567" s="136"/>
      <c r="J1567" s="135"/>
      <c r="K1567" s="136">
        <f t="shared" si="198"/>
        <v>0</v>
      </c>
      <c r="L1567" s="136">
        <v>0</v>
      </c>
      <c r="M1567" s="136">
        <f t="shared" si="199"/>
        <v>0</v>
      </c>
      <c r="N1567" s="157"/>
      <c r="O1567" s="136">
        <f t="shared" si="201"/>
        <v>0</v>
      </c>
      <c r="P1567" s="157"/>
    </row>
    <row r="1568" spans="1:16">
      <c r="E1568" s="261" t="s">
        <v>98</v>
      </c>
      <c r="F1568" s="127">
        <f>F1575+F1596+F1599+F1585+F1579</f>
        <v>4711675</v>
      </c>
      <c r="G1568" s="127">
        <f t="shared" ref="G1568:I1568" si="203">G1575+G1596+G1599+G1585+G1579</f>
        <v>0</v>
      </c>
      <c r="H1568" s="127">
        <f t="shared" si="203"/>
        <v>41748</v>
      </c>
      <c r="I1568" s="127">
        <f t="shared" si="203"/>
        <v>132308</v>
      </c>
      <c r="J1568" s="127">
        <f>J1575+J1596+J1599+J1585+J1579</f>
        <v>274397</v>
      </c>
      <c r="K1568" s="127">
        <f t="shared" si="198"/>
        <v>5160128</v>
      </c>
      <c r="L1568" s="127">
        <f>L1575+L1596+L1599+L1585+L1579</f>
        <v>5217075</v>
      </c>
      <c r="M1568" s="127">
        <f t="shared" si="199"/>
        <v>505400</v>
      </c>
      <c r="N1568" s="160">
        <f t="shared" si="200"/>
        <v>0.10726546291923784</v>
      </c>
      <c r="O1568" s="127">
        <f t="shared" si="201"/>
        <v>56947</v>
      </c>
      <c r="P1568" s="160">
        <f t="shared" si="202"/>
        <v>1.1035966549666985E-2</v>
      </c>
    </row>
    <row r="1569" spans="1:16">
      <c r="E1569" s="262" t="s">
        <v>359</v>
      </c>
      <c r="F1569" s="128">
        <v>432700</v>
      </c>
      <c r="G1569" s="128"/>
      <c r="H1569" s="128"/>
      <c r="I1569" s="15">
        <v>257200</v>
      </c>
      <c r="J1569" s="128"/>
      <c r="K1569" s="128">
        <f t="shared" si="198"/>
        <v>689900</v>
      </c>
      <c r="L1569" s="128">
        <v>689900</v>
      </c>
      <c r="M1569" s="128">
        <f t="shared" si="199"/>
        <v>257200</v>
      </c>
      <c r="N1569" s="91">
        <f t="shared" si="200"/>
        <v>0.59440721053847934</v>
      </c>
      <c r="O1569" s="128">
        <f t="shared" si="201"/>
        <v>0</v>
      </c>
      <c r="P1569" s="91">
        <f t="shared" si="202"/>
        <v>0</v>
      </c>
    </row>
    <row r="1570" spans="1:16">
      <c r="E1570" s="261" t="s">
        <v>44</v>
      </c>
      <c r="F1570" s="127">
        <f>F1571+F1572</f>
        <v>4711675</v>
      </c>
      <c r="G1570" s="127">
        <f t="shared" ref="G1570:I1570" si="204">G1571+G1572</f>
        <v>0</v>
      </c>
      <c r="H1570" s="127">
        <f t="shared" si="204"/>
        <v>41748</v>
      </c>
      <c r="I1570" s="127">
        <f t="shared" si="204"/>
        <v>132308</v>
      </c>
      <c r="J1570" s="127">
        <f>J1571+J1572</f>
        <v>274397</v>
      </c>
      <c r="K1570" s="127">
        <f t="shared" si="198"/>
        <v>5160128</v>
      </c>
      <c r="L1570" s="127">
        <f>SUM(L1571+L1572)</f>
        <v>5217075</v>
      </c>
      <c r="M1570" s="127">
        <f t="shared" si="199"/>
        <v>505400</v>
      </c>
      <c r="N1570" s="160">
        <f t="shared" si="200"/>
        <v>0.10726546291923784</v>
      </c>
      <c r="O1570" s="127">
        <f t="shared" si="201"/>
        <v>56947</v>
      </c>
      <c r="P1570" s="160">
        <f t="shared" si="202"/>
        <v>1.1035966549666985E-2</v>
      </c>
    </row>
    <row r="1571" spans="1:16">
      <c r="E1571" s="262" t="s">
        <v>45</v>
      </c>
      <c r="F1571" s="128">
        <v>862275</v>
      </c>
      <c r="G1571" s="128"/>
      <c r="H1571" s="128">
        <v>22512</v>
      </c>
      <c r="I1571" s="128">
        <v>88257</v>
      </c>
      <c r="J1571" s="128"/>
      <c r="K1571" s="128">
        <f t="shared" si="198"/>
        <v>973044</v>
      </c>
      <c r="L1571" s="128">
        <v>1001729</v>
      </c>
      <c r="M1571" s="128">
        <f t="shared" si="199"/>
        <v>139454</v>
      </c>
      <c r="N1571" s="91">
        <f t="shared" si="200"/>
        <v>0.16172798701110436</v>
      </c>
      <c r="O1571" s="128">
        <f t="shared" si="201"/>
        <v>28685</v>
      </c>
      <c r="P1571" s="91">
        <f t="shared" si="202"/>
        <v>2.9479653540847073E-2</v>
      </c>
    </row>
    <row r="1572" spans="1:16">
      <c r="E1572" s="263" t="s">
        <v>46</v>
      </c>
      <c r="F1572" s="128">
        <f>F1568-F1571</f>
        <v>3849400</v>
      </c>
      <c r="G1572" s="128">
        <f t="shared" ref="G1572:I1572" si="205">G1568-G1571</f>
        <v>0</v>
      </c>
      <c r="H1572" s="128">
        <f t="shared" si="205"/>
        <v>19236</v>
      </c>
      <c r="I1572" s="128">
        <f t="shared" si="205"/>
        <v>44051</v>
      </c>
      <c r="J1572" s="128">
        <f>J1568-J1571</f>
        <v>274397</v>
      </c>
      <c r="K1572" s="128">
        <f t="shared" si="198"/>
        <v>4187084</v>
      </c>
      <c r="L1572" s="128">
        <f>SUM(L1568-L1571)</f>
        <v>4215346</v>
      </c>
      <c r="M1572" s="128">
        <f t="shared" si="199"/>
        <v>365946</v>
      </c>
      <c r="N1572" s="91">
        <f t="shared" si="200"/>
        <v>9.5065724528497944E-2</v>
      </c>
      <c r="O1572" s="128">
        <f t="shared" si="201"/>
        <v>28262</v>
      </c>
      <c r="P1572" s="91">
        <f t="shared" si="202"/>
        <v>6.7498048761381428E-3</v>
      </c>
    </row>
    <row r="1573" spans="1:16" s="10" customFormat="1">
      <c r="A1573" s="135"/>
      <c r="B1573" s="135"/>
      <c r="C1573" s="482"/>
      <c r="D1573" s="482"/>
      <c r="E1573" s="264" t="s">
        <v>718</v>
      </c>
      <c r="F1573" s="129">
        <f>F1577+F1583+F1590+F1594+F1602+F1611+F1620</f>
        <v>2130940</v>
      </c>
      <c r="G1573" s="129">
        <f t="shared" ref="G1573:I1573" si="206">G1577+G1583+G1590+G1594+G1602+G1611+G1620</f>
        <v>0</v>
      </c>
      <c r="H1573" s="129">
        <f t="shared" si="206"/>
        <v>-16932</v>
      </c>
      <c r="I1573" s="129">
        <f t="shared" si="206"/>
        <v>-42181</v>
      </c>
      <c r="J1573" s="129">
        <f>J1577+J1583+J1590+J1594+J1602+J1611+J1620</f>
        <v>205081</v>
      </c>
      <c r="K1573" s="129">
        <f t="shared" si="198"/>
        <v>2276908</v>
      </c>
      <c r="L1573" s="129">
        <f>SUM(L1577+L1583+L1590+L1594+L1602+L1611+L1620)</f>
        <v>2462308</v>
      </c>
      <c r="M1573" s="129">
        <f t="shared" si="199"/>
        <v>331368</v>
      </c>
      <c r="N1573" s="265">
        <f t="shared" si="200"/>
        <v>0.15550320515828694</v>
      </c>
      <c r="O1573" s="129">
        <f t="shared" si="201"/>
        <v>185400</v>
      </c>
      <c r="P1573" s="265">
        <f t="shared" si="202"/>
        <v>8.1426214849260492E-2</v>
      </c>
    </row>
    <row r="1574" spans="1:16">
      <c r="E1574" s="263"/>
      <c r="F1574" s="128"/>
      <c r="G1574" s="128"/>
      <c r="H1574" s="128"/>
      <c r="I1574" s="128"/>
      <c r="J1574" s="135"/>
      <c r="K1574" s="128">
        <f t="shared" si="198"/>
        <v>0</v>
      </c>
      <c r="L1574" s="128">
        <v>0</v>
      </c>
      <c r="M1574" s="128">
        <f t="shared" si="199"/>
        <v>0</v>
      </c>
      <c r="N1574" s="91"/>
      <c r="O1574" s="128">
        <f t="shared" si="201"/>
        <v>0</v>
      </c>
      <c r="P1574" s="91"/>
    </row>
    <row r="1575" spans="1:16" ht="13.8">
      <c r="A1575" s="77" t="s">
        <v>672</v>
      </c>
      <c r="B1575" s="77" t="s">
        <v>175</v>
      </c>
      <c r="E1575" s="443" t="s">
        <v>103</v>
      </c>
      <c r="F1575" s="444">
        <f>F1576</f>
        <v>514407</v>
      </c>
      <c r="G1575" s="444">
        <f t="shared" ref="G1575:H1575" si="207">G1576</f>
        <v>0</v>
      </c>
      <c r="H1575" s="444">
        <f t="shared" si="207"/>
        <v>6010</v>
      </c>
      <c r="I1575" s="13">
        <f>SUM(I1576)</f>
        <v>32200</v>
      </c>
      <c r="J1575" s="444">
        <f>J1576</f>
        <v>16514</v>
      </c>
      <c r="K1575" s="444">
        <f t="shared" si="198"/>
        <v>569131</v>
      </c>
      <c r="L1575" s="444">
        <f>SUM(L1576)</f>
        <v>561690</v>
      </c>
      <c r="M1575" s="444">
        <f t="shared" si="199"/>
        <v>47283</v>
      </c>
      <c r="N1575" s="313">
        <f t="shared" si="200"/>
        <v>9.1917489458735985E-2</v>
      </c>
      <c r="O1575" s="444">
        <f t="shared" si="201"/>
        <v>-7441</v>
      </c>
      <c r="P1575" s="313">
        <f t="shared" si="202"/>
        <v>-1.3074318566375755E-2</v>
      </c>
    </row>
    <row r="1576" spans="1:16">
      <c r="C1576" s="537"/>
      <c r="D1576" s="537"/>
      <c r="E1576" s="339" t="s">
        <v>565</v>
      </c>
      <c r="F1576" s="123">
        <v>514407</v>
      </c>
      <c r="G1576" s="123"/>
      <c r="H1576" s="127">
        <v>6010</v>
      </c>
      <c r="I1576" s="123">
        <v>32200</v>
      </c>
      <c r="J1576" s="123">
        <v>16514</v>
      </c>
      <c r="K1576" s="123">
        <f t="shared" si="198"/>
        <v>569131</v>
      </c>
      <c r="L1576" s="123">
        <v>561690</v>
      </c>
      <c r="M1576" s="123">
        <f t="shared" si="199"/>
        <v>47283</v>
      </c>
      <c r="N1576" s="160">
        <f t="shared" si="200"/>
        <v>9.1917489458735985E-2</v>
      </c>
      <c r="O1576" s="123">
        <f t="shared" si="201"/>
        <v>-7441</v>
      </c>
      <c r="P1576" s="160">
        <f t="shared" si="202"/>
        <v>-1.3074318566375755E-2</v>
      </c>
    </row>
    <row r="1577" spans="1:16">
      <c r="E1577" s="132" t="s">
        <v>47</v>
      </c>
      <c r="F1577" s="124">
        <v>232380</v>
      </c>
      <c r="G1577" s="124"/>
      <c r="H1577" s="124"/>
      <c r="I1577" s="124"/>
      <c r="J1577" s="124">
        <v>12342</v>
      </c>
      <c r="K1577" s="124">
        <f t="shared" si="198"/>
        <v>244722</v>
      </c>
      <c r="L1577" s="124">
        <v>247190</v>
      </c>
      <c r="M1577" s="124">
        <f t="shared" si="199"/>
        <v>14810</v>
      </c>
      <c r="N1577" s="270">
        <f t="shared" si="200"/>
        <v>6.3731818573026941E-2</v>
      </c>
      <c r="O1577" s="124">
        <f t="shared" si="201"/>
        <v>2468</v>
      </c>
      <c r="P1577" s="270">
        <f t="shared" si="202"/>
        <v>1.0084912676424678E-2</v>
      </c>
    </row>
    <row r="1578" spans="1:16">
      <c r="E1578" s="132"/>
      <c r="F1578" s="124"/>
      <c r="G1578" s="124"/>
      <c r="H1578" s="124"/>
      <c r="I1578" s="124"/>
      <c r="J1578" s="135"/>
      <c r="K1578" s="124">
        <f t="shared" si="198"/>
        <v>0</v>
      </c>
      <c r="L1578" s="124">
        <v>0</v>
      </c>
      <c r="M1578" s="124">
        <f t="shared" si="199"/>
        <v>0</v>
      </c>
      <c r="N1578" s="270"/>
      <c r="O1578" s="124">
        <f t="shared" si="201"/>
        <v>0</v>
      </c>
      <c r="P1578" s="270"/>
    </row>
    <row r="1579" spans="1:16" ht="13.8">
      <c r="A1579" s="77" t="s">
        <v>674</v>
      </c>
      <c r="B1579" s="77" t="s">
        <v>175</v>
      </c>
      <c r="E1579" s="422" t="s">
        <v>105</v>
      </c>
      <c r="F1579" s="423">
        <f>F1580</f>
        <v>131000</v>
      </c>
      <c r="G1579" s="423">
        <f t="shared" ref="G1579:H1579" si="208">G1580</f>
        <v>0</v>
      </c>
      <c r="H1579" s="423">
        <f t="shared" si="208"/>
        <v>13126</v>
      </c>
      <c r="I1579" s="423"/>
      <c r="J1579" s="423">
        <f>J1580</f>
        <v>7806</v>
      </c>
      <c r="K1579" s="423">
        <f t="shared" si="198"/>
        <v>151932</v>
      </c>
      <c r="L1579" s="423">
        <f>SUM(L1580)</f>
        <v>137816</v>
      </c>
      <c r="M1579" s="423">
        <f t="shared" si="199"/>
        <v>6816</v>
      </c>
      <c r="N1579" s="424">
        <f t="shared" si="200"/>
        <v>5.203053435114504E-2</v>
      </c>
      <c r="O1579" s="423">
        <f t="shared" si="201"/>
        <v>-14116</v>
      </c>
      <c r="P1579" s="424">
        <f t="shared" si="202"/>
        <v>-9.290998604638917E-2</v>
      </c>
    </row>
    <row r="1580" spans="1:16">
      <c r="C1580" s="537"/>
      <c r="D1580" s="537"/>
      <c r="E1580" s="394" t="s">
        <v>106</v>
      </c>
      <c r="F1580" s="395">
        <f>F1582</f>
        <v>131000</v>
      </c>
      <c r="G1580" s="395">
        <f t="shared" ref="G1580:H1580" si="209">G1582</f>
        <v>0</v>
      </c>
      <c r="H1580" s="395">
        <f t="shared" si="209"/>
        <v>13126</v>
      </c>
      <c r="I1580" s="395"/>
      <c r="J1580" s="395">
        <f>J1582</f>
        <v>7806</v>
      </c>
      <c r="K1580" s="395">
        <f t="shared" si="198"/>
        <v>151932</v>
      </c>
      <c r="L1580" s="395">
        <f>SUM(L1582)</f>
        <v>137816</v>
      </c>
      <c r="M1580" s="395">
        <f t="shared" si="199"/>
        <v>6816</v>
      </c>
      <c r="N1580" s="370">
        <f t="shared" si="200"/>
        <v>5.203053435114504E-2</v>
      </c>
      <c r="O1580" s="395">
        <f t="shared" si="201"/>
        <v>-14116</v>
      </c>
      <c r="P1580" s="370">
        <f t="shared" si="202"/>
        <v>-9.290998604638917E-2</v>
      </c>
    </row>
    <row r="1581" spans="1:16">
      <c r="E1581" s="425" t="s">
        <v>101</v>
      </c>
      <c r="F1581" s="395"/>
      <c r="G1581" s="135"/>
      <c r="H1581" s="136"/>
      <c r="I1581" s="136"/>
      <c r="J1581" s="395"/>
      <c r="K1581" s="395">
        <f t="shared" si="198"/>
        <v>0</v>
      </c>
      <c r="L1581" s="395">
        <v>0</v>
      </c>
      <c r="M1581" s="395">
        <f t="shared" si="199"/>
        <v>0</v>
      </c>
      <c r="N1581" s="370"/>
      <c r="O1581" s="395">
        <f t="shared" si="201"/>
        <v>0</v>
      </c>
      <c r="P1581" s="370"/>
    </row>
    <row r="1582" spans="1:16">
      <c r="E1582" s="37" t="s">
        <v>566</v>
      </c>
      <c r="F1582" s="47">
        <v>131000</v>
      </c>
      <c r="G1582" s="135"/>
      <c r="H1582" s="47">
        <v>13126</v>
      </c>
      <c r="I1582" s="47"/>
      <c r="J1582" s="47">
        <v>7806</v>
      </c>
      <c r="K1582" s="47">
        <f t="shared" si="198"/>
        <v>151932</v>
      </c>
      <c r="L1582" s="47">
        <v>137816</v>
      </c>
      <c r="M1582" s="47">
        <f t="shared" si="199"/>
        <v>6816</v>
      </c>
      <c r="N1582" s="96">
        <f t="shared" si="200"/>
        <v>5.203053435114504E-2</v>
      </c>
      <c r="O1582" s="47">
        <f t="shared" si="201"/>
        <v>-14116</v>
      </c>
      <c r="P1582" s="96">
        <f t="shared" si="202"/>
        <v>-9.290998604638917E-2</v>
      </c>
    </row>
    <row r="1583" spans="1:16">
      <c r="E1583" s="446" t="s">
        <v>47</v>
      </c>
      <c r="F1583" s="125">
        <v>70583</v>
      </c>
      <c r="G1583" s="135"/>
      <c r="H1583" s="125">
        <f>(654*5)*3</f>
        <v>9810</v>
      </c>
      <c r="I1583" s="125"/>
      <c r="J1583" s="125">
        <v>5834</v>
      </c>
      <c r="K1583" s="125">
        <f t="shared" si="198"/>
        <v>86227</v>
      </c>
      <c r="L1583" s="125">
        <v>76948</v>
      </c>
      <c r="M1583" s="125">
        <f t="shared" si="199"/>
        <v>6365</v>
      </c>
      <c r="N1583" s="284">
        <f t="shared" si="200"/>
        <v>9.0177521499511221E-2</v>
      </c>
      <c r="O1583" s="125">
        <f t="shared" si="201"/>
        <v>-9279</v>
      </c>
      <c r="P1583" s="284">
        <f t="shared" si="202"/>
        <v>-0.10761130504366381</v>
      </c>
    </row>
    <row r="1584" spans="1:16">
      <c r="E1584" s="367"/>
      <c r="F1584" s="353"/>
      <c r="G1584" s="135"/>
      <c r="H1584" s="136"/>
      <c r="I1584" s="136"/>
      <c r="J1584" s="135"/>
      <c r="K1584" s="353">
        <f t="shared" si="198"/>
        <v>0</v>
      </c>
      <c r="L1584" s="353">
        <v>0</v>
      </c>
      <c r="M1584" s="353">
        <f t="shared" si="199"/>
        <v>0</v>
      </c>
      <c r="N1584" s="287"/>
      <c r="O1584" s="353">
        <f t="shared" si="201"/>
        <v>0</v>
      </c>
      <c r="P1584" s="287"/>
    </row>
    <row r="1585" spans="1:16" ht="13.8">
      <c r="A1585" s="77" t="s">
        <v>675</v>
      </c>
      <c r="B1585" s="77" t="s">
        <v>175</v>
      </c>
      <c r="E1585" s="443" t="s">
        <v>108</v>
      </c>
      <c r="F1585" s="444">
        <f>F1587</f>
        <v>970826</v>
      </c>
      <c r="G1585" s="444">
        <f t="shared" ref="G1585:H1585" si="210">G1587</f>
        <v>0</v>
      </c>
      <c r="H1585" s="444">
        <f t="shared" si="210"/>
        <v>4400</v>
      </c>
      <c r="I1585" s="444"/>
      <c r="J1585" s="444">
        <f>J1587</f>
        <v>78577</v>
      </c>
      <c r="K1585" s="444">
        <f t="shared" si="198"/>
        <v>1053803</v>
      </c>
      <c r="L1585" s="444">
        <f>SUM(L1587)</f>
        <v>1082253</v>
      </c>
      <c r="M1585" s="444">
        <f t="shared" si="199"/>
        <v>111427</v>
      </c>
      <c r="N1585" s="313">
        <f t="shared" si="200"/>
        <v>0.11477545924810419</v>
      </c>
      <c r="O1585" s="444">
        <f t="shared" si="201"/>
        <v>28450</v>
      </c>
      <c r="P1585" s="313">
        <f t="shared" si="202"/>
        <v>2.6997455881222581E-2</v>
      </c>
    </row>
    <row r="1586" spans="1:16">
      <c r="E1586" s="458"/>
      <c r="F1586" s="373"/>
      <c r="G1586" s="373"/>
      <c r="H1586" s="373"/>
      <c r="I1586" s="373"/>
      <c r="J1586" s="135"/>
      <c r="K1586" s="373">
        <f t="shared" si="198"/>
        <v>0</v>
      </c>
      <c r="L1586" s="373"/>
      <c r="M1586" s="373">
        <f t="shared" si="199"/>
        <v>0</v>
      </c>
      <c r="N1586" s="160"/>
      <c r="O1586" s="373">
        <f t="shared" si="201"/>
        <v>0</v>
      </c>
      <c r="P1586" s="160"/>
    </row>
    <row r="1587" spans="1:16" ht="26.4">
      <c r="C1587" s="537"/>
      <c r="D1587" s="537"/>
      <c r="E1587" s="449" t="s">
        <v>167</v>
      </c>
      <c r="F1587" s="419">
        <f>F1589+F1593</f>
        <v>970826</v>
      </c>
      <c r="G1587" s="419">
        <f t="shared" ref="G1587:H1587" si="211">G1589+G1593</f>
        <v>0</v>
      </c>
      <c r="H1587" s="419">
        <f t="shared" si="211"/>
        <v>4400</v>
      </c>
      <c r="I1587" s="419"/>
      <c r="J1587" s="419">
        <f>J1589+J1593</f>
        <v>78577</v>
      </c>
      <c r="K1587" s="419">
        <f t="shared" si="198"/>
        <v>1053803</v>
      </c>
      <c r="L1587" s="419">
        <f>SUM(L1593+L1589)</f>
        <v>1082253</v>
      </c>
      <c r="M1587" s="419">
        <f t="shared" si="199"/>
        <v>111427</v>
      </c>
      <c r="N1587" s="370">
        <f t="shared" si="200"/>
        <v>0.11477545924810419</v>
      </c>
      <c r="O1587" s="419">
        <f t="shared" si="201"/>
        <v>28450</v>
      </c>
      <c r="P1587" s="370">
        <f t="shared" si="202"/>
        <v>2.6997455881222581E-2</v>
      </c>
    </row>
    <row r="1588" spans="1:16">
      <c r="E1588" s="450" t="s">
        <v>101</v>
      </c>
      <c r="F1588" s="127"/>
      <c r="G1588" s="135"/>
      <c r="H1588" s="136"/>
      <c r="I1588" s="136"/>
      <c r="J1588" s="135"/>
      <c r="K1588" s="127">
        <f t="shared" si="198"/>
        <v>0</v>
      </c>
      <c r="L1588" s="127">
        <v>0</v>
      </c>
      <c r="M1588" s="127">
        <f t="shared" si="199"/>
        <v>0</v>
      </c>
      <c r="N1588" s="160"/>
      <c r="O1588" s="127">
        <f t="shared" si="201"/>
        <v>0</v>
      </c>
      <c r="P1588" s="160"/>
    </row>
    <row r="1589" spans="1:16">
      <c r="E1589" s="336" t="s">
        <v>567</v>
      </c>
      <c r="F1589" s="268">
        <v>340808</v>
      </c>
      <c r="G1589" s="135"/>
      <c r="H1589" s="268">
        <v>4400</v>
      </c>
      <c r="I1589" s="268"/>
      <c r="J1589" s="268">
        <v>29173</v>
      </c>
      <c r="K1589" s="268">
        <f t="shared" si="198"/>
        <v>374381</v>
      </c>
      <c r="L1589" s="268">
        <v>372535</v>
      </c>
      <c r="M1589" s="268">
        <f t="shared" si="199"/>
        <v>31727</v>
      </c>
      <c r="N1589" s="157">
        <f t="shared" si="200"/>
        <v>9.3093471984225726E-2</v>
      </c>
      <c r="O1589" s="268">
        <f t="shared" si="201"/>
        <v>-1846</v>
      </c>
      <c r="P1589" s="157">
        <f t="shared" si="202"/>
        <v>-4.9308057834131537E-3</v>
      </c>
    </row>
    <row r="1590" spans="1:16">
      <c r="E1590" s="323" t="s">
        <v>47</v>
      </c>
      <c r="F1590" s="124">
        <v>186131</v>
      </c>
      <c r="G1590" s="135"/>
      <c r="H1590" s="136"/>
      <c r="I1590" s="136"/>
      <c r="J1590" s="124">
        <v>21804</v>
      </c>
      <c r="K1590" s="124">
        <f t="shared" si="198"/>
        <v>207935</v>
      </c>
      <c r="L1590" s="124">
        <v>211712</v>
      </c>
      <c r="M1590" s="124">
        <f t="shared" si="199"/>
        <v>25581</v>
      </c>
      <c r="N1590" s="270">
        <f t="shared" si="200"/>
        <v>0.13743546212076441</v>
      </c>
      <c r="O1590" s="124">
        <f t="shared" si="201"/>
        <v>3777</v>
      </c>
      <c r="P1590" s="270">
        <f t="shared" si="202"/>
        <v>1.816433019934114E-2</v>
      </c>
    </row>
    <row r="1591" spans="1:16">
      <c r="E1591" s="59"/>
      <c r="F1591" s="460"/>
      <c r="G1591" s="135"/>
      <c r="H1591" s="136"/>
      <c r="I1591" s="136"/>
      <c r="J1591" s="460"/>
      <c r="K1591" s="460">
        <f t="shared" si="198"/>
        <v>0</v>
      </c>
      <c r="L1591" s="460">
        <v>0</v>
      </c>
      <c r="M1591" s="460">
        <f t="shared" si="199"/>
        <v>0</v>
      </c>
      <c r="N1591" s="724"/>
      <c r="O1591" s="460">
        <f t="shared" si="201"/>
        <v>0</v>
      </c>
      <c r="P1591" s="724"/>
    </row>
    <row r="1592" spans="1:16">
      <c r="E1592" s="450" t="s">
        <v>101</v>
      </c>
      <c r="F1592" s="127"/>
      <c r="G1592" s="135"/>
      <c r="H1592" s="136"/>
      <c r="I1592" s="136"/>
      <c r="J1592" s="127"/>
      <c r="K1592" s="127">
        <f t="shared" si="198"/>
        <v>0</v>
      </c>
      <c r="L1592" s="127">
        <v>0</v>
      </c>
      <c r="M1592" s="127">
        <f t="shared" si="199"/>
        <v>0</v>
      </c>
      <c r="N1592" s="160"/>
      <c r="O1592" s="127">
        <f t="shared" si="201"/>
        <v>0</v>
      </c>
      <c r="P1592" s="160"/>
    </row>
    <row r="1593" spans="1:16">
      <c r="E1593" s="336" t="s">
        <v>568</v>
      </c>
      <c r="F1593" s="268">
        <v>630018</v>
      </c>
      <c r="G1593" s="135"/>
      <c r="H1593" s="136"/>
      <c r="I1593" s="136"/>
      <c r="J1593" s="268">
        <v>49404</v>
      </c>
      <c r="K1593" s="268">
        <f t="shared" si="198"/>
        <v>679422</v>
      </c>
      <c r="L1593" s="268">
        <v>709718</v>
      </c>
      <c r="M1593" s="268">
        <f t="shared" si="199"/>
        <v>79700</v>
      </c>
      <c r="N1593" s="157">
        <f t="shared" si="200"/>
        <v>0.12650432209873369</v>
      </c>
      <c r="O1593" s="268">
        <f t="shared" si="201"/>
        <v>30296</v>
      </c>
      <c r="P1593" s="157">
        <f t="shared" si="202"/>
        <v>4.4590843393354937E-2</v>
      </c>
    </row>
    <row r="1594" spans="1:16">
      <c r="E1594" s="323" t="s">
        <v>47</v>
      </c>
      <c r="F1594" s="124">
        <v>453880</v>
      </c>
      <c r="G1594" s="135"/>
      <c r="H1594" s="136"/>
      <c r="I1594" s="136"/>
      <c r="J1594" s="124">
        <v>36924</v>
      </c>
      <c r="K1594" s="124">
        <f t="shared" si="198"/>
        <v>490804</v>
      </c>
      <c r="L1594" s="124">
        <v>511653</v>
      </c>
      <c r="M1594" s="124">
        <f t="shared" si="199"/>
        <v>57773</v>
      </c>
      <c r="N1594" s="270">
        <f t="shared" si="200"/>
        <v>0.12728694809200669</v>
      </c>
      <c r="O1594" s="124">
        <f t="shared" si="201"/>
        <v>20849</v>
      </c>
      <c r="P1594" s="270">
        <f t="shared" si="202"/>
        <v>4.24792788974825E-2</v>
      </c>
    </row>
    <row r="1595" spans="1:16">
      <c r="E1595" s="65"/>
      <c r="F1595" s="47"/>
      <c r="G1595" s="135"/>
      <c r="H1595" s="136"/>
      <c r="I1595" s="136"/>
      <c r="J1595" s="47"/>
      <c r="K1595" s="47">
        <f t="shared" si="198"/>
        <v>0</v>
      </c>
      <c r="L1595" s="47">
        <v>0</v>
      </c>
      <c r="M1595" s="47">
        <f t="shared" si="199"/>
        <v>0</v>
      </c>
      <c r="N1595" s="96"/>
      <c r="O1595" s="47">
        <f t="shared" si="201"/>
        <v>0</v>
      </c>
      <c r="P1595" s="96"/>
    </row>
    <row r="1596" spans="1:16" ht="13.8">
      <c r="A1596" s="77" t="s">
        <v>679</v>
      </c>
      <c r="B1596" s="77" t="s">
        <v>175</v>
      </c>
      <c r="E1596" s="443" t="s">
        <v>163</v>
      </c>
      <c r="F1596" s="444">
        <f>F1597</f>
        <v>449480</v>
      </c>
      <c r="G1596" s="135"/>
      <c r="H1596" s="136"/>
      <c r="I1596" s="13">
        <f>SUM(I1597)</f>
        <v>138850</v>
      </c>
      <c r="J1596" s="444"/>
      <c r="K1596" s="444">
        <f t="shared" si="198"/>
        <v>588330</v>
      </c>
      <c r="L1596" s="444">
        <f>SUM(L1597)</f>
        <v>449480</v>
      </c>
      <c r="M1596" s="444">
        <f t="shared" si="199"/>
        <v>0</v>
      </c>
      <c r="N1596" s="313">
        <f t="shared" si="200"/>
        <v>0</v>
      </c>
      <c r="O1596" s="444">
        <f t="shared" si="201"/>
        <v>-138850</v>
      </c>
      <c r="P1596" s="313">
        <f t="shared" si="202"/>
        <v>-0.23600700287253751</v>
      </c>
    </row>
    <row r="1597" spans="1:16">
      <c r="C1597" s="537" t="s">
        <v>1021</v>
      </c>
      <c r="D1597" s="537" t="s">
        <v>949</v>
      </c>
      <c r="E1597" s="339" t="s">
        <v>164</v>
      </c>
      <c r="F1597" s="123">
        <v>449480</v>
      </c>
      <c r="G1597" s="135"/>
      <c r="H1597" s="136"/>
      <c r="I1597" s="123">
        <v>138850</v>
      </c>
      <c r="J1597" s="123"/>
      <c r="K1597" s="123">
        <f t="shared" si="198"/>
        <v>588330</v>
      </c>
      <c r="L1597" s="123">
        <v>449480</v>
      </c>
      <c r="M1597" s="123">
        <f t="shared" si="199"/>
        <v>0</v>
      </c>
      <c r="N1597" s="160">
        <f t="shared" si="200"/>
        <v>0</v>
      </c>
      <c r="O1597" s="123">
        <f t="shared" si="201"/>
        <v>-138850</v>
      </c>
      <c r="P1597" s="160">
        <f t="shared" si="202"/>
        <v>-0.23600700287253751</v>
      </c>
    </row>
    <row r="1598" spans="1:16">
      <c r="E1598" s="263"/>
      <c r="F1598" s="128"/>
      <c r="G1598" s="135"/>
      <c r="H1598" s="136"/>
      <c r="I1598" s="136"/>
      <c r="J1598" s="128"/>
      <c r="K1598" s="128">
        <f t="shared" si="198"/>
        <v>0</v>
      </c>
      <c r="L1598" s="128">
        <v>0</v>
      </c>
      <c r="M1598" s="128">
        <f t="shared" si="199"/>
        <v>0</v>
      </c>
      <c r="N1598" s="91"/>
      <c r="O1598" s="128">
        <f t="shared" si="201"/>
        <v>0</v>
      </c>
      <c r="P1598" s="91"/>
    </row>
    <row r="1599" spans="1:16">
      <c r="E1599" s="426" t="s">
        <v>102</v>
      </c>
      <c r="F1599" s="427">
        <f>F1601+F1604+F1617+F1619+F1624+F1626+F1622+F1615+F1608+F1610</f>
        <v>2645962</v>
      </c>
      <c r="G1599" s="427">
        <f t="shared" ref="G1599:I1599" si="212">G1601+G1604+G1617+G1619+G1624+G1626+G1622+G1615+G1608+G1610</f>
        <v>0</v>
      </c>
      <c r="H1599" s="427">
        <f t="shared" si="212"/>
        <v>18212</v>
      </c>
      <c r="I1599" s="427">
        <f t="shared" si="212"/>
        <v>-38742</v>
      </c>
      <c r="J1599" s="427">
        <f>J1601+J1604+J1617+J1619+J1624+J1626+J1622+J1615+J1608+J1610</f>
        <v>171500</v>
      </c>
      <c r="K1599" s="427">
        <f t="shared" si="198"/>
        <v>2796932</v>
      </c>
      <c r="L1599" s="427">
        <f>SUM(L1601+L1604+L1608+L1610+L1615+L1617+L1619+L1622+L1624+L1626+L1613)</f>
        <v>2985836</v>
      </c>
      <c r="M1599" s="427">
        <f t="shared" si="199"/>
        <v>339874</v>
      </c>
      <c r="N1599" s="370">
        <f t="shared" si="200"/>
        <v>0.12845006844391568</v>
      </c>
      <c r="O1599" s="427">
        <f t="shared" si="201"/>
        <v>188904</v>
      </c>
      <c r="P1599" s="370">
        <f t="shared" si="202"/>
        <v>6.7539718520149936E-2</v>
      </c>
    </row>
    <row r="1600" spans="1:16">
      <c r="E1600" s="426"/>
      <c r="F1600" s="427"/>
      <c r="G1600" s="135"/>
      <c r="H1600" s="136"/>
      <c r="I1600" s="136"/>
      <c r="J1600" s="427"/>
      <c r="K1600" s="427">
        <f t="shared" si="198"/>
        <v>0</v>
      </c>
      <c r="L1600" s="427">
        <v>0</v>
      </c>
      <c r="M1600" s="427">
        <f t="shared" si="199"/>
        <v>0</v>
      </c>
      <c r="N1600" s="370"/>
      <c r="O1600" s="427">
        <f t="shared" si="201"/>
        <v>0</v>
      </c>
      <c r="P1600" s="370"/>
    </row>
    <row r="1601" spans="1:16">
      <c r="A1601" s="77" t="s">
        <v>670</v>
      </c>
      <c r="B1601" s="77" t="s">
        <v>175</v>
      </c>
      <c r="C1601" s="537"/>
      <c r="D1601" s="537"/>
      <c r="E1601" s="267" t="s">
        <v>168</v>
      </c>
      <c r="F1601" s="268">
        <f>2080245-23193-15500</f>
        <v>2041552</v>
      </c>
      <c r="G1601" s="135"/>
      <c r="H1601" s="268">
        <v>-32412</v>
      </c>
      <c r="I1601" s="136">
        <v>-46662</v>
      </c>
      <c r="J1601" s="268">
        <v>171500</v>
      </c>
      <c r="K1601" s="268">
        <f t="shared" si="198"/>
        <v>2133978</v>
      </c>
      <c r="L1601" s="268">
        <v>2412260</v>
      </c>
      <c r="M1601" s="268">
        <f t="shared" si="199"/>
        <v>370708</v>
      </c>
      <c r="N1601" s="157">
        <f t="shared" si="200"/>
        <v>0.18158146351403245</v>
      </c>
      <c r="O1601" s="268">
        <f t="shared" si="201"/>
        <v>278282</v>
      </c>
      <c r="P1601" s="157">
        <f t="shared" si="202"/>
        <v>0.1304052806542523</v>
      </c>
    </row>
    <row r="1602" spans="1:16">
      <c r="E1602" s="130" t="s">
        <v>47</v>
      </c>
      <c r="F1602" s="124">
        <f>1179926-17334</f>
        <v>1162592</v>
      </c>
      <c r="G1602" s="135"/>
      <c r="H1602" s="124">
        <v>-24224</v>
      </c>
      <c r="I1602" s="124">
        <v>-42181</v>
      </c>
      <c r="J1602" s="124">
        <v>128177</v>
      </c>
      <c r="K1602" s="124">
        <f t="shared" si="198"/>
        <v>1224364</v>
      </c>
      <c r="L1602" s="124">
        <v>1385996</v>
      </c>
      <c r="M1602" s="124">
        <f t="shared" si="199"/>
        <v>223404</v>
      </c>
      <c r="N1602" s="270">
        <f t="shared" si="200"/>
        <v>0.19216027634802235</v>
      </c>
      <c r="O1602" s="124">
        <f t="shared" si="201"/>
        <v>161632</v>
      </c>
      <c r="P1602" s="270">
        <f t="shared" si="202"/>
        <v>0.13201302880515925</v>
      </c>
    </row>
    <row r="1603" spans="1:16">
      <c r="E1603" s="273"/>
      <c r="F1603" s="131"/>
      <c r="G1603" s="135"/>
      <c r="H1603" s="136"/>
      <c r="I1603" s="136"/>
      <c r="J1603" s="135"/>
      <c r="K1603" s="131">
        <f t="shared" si="198"/>
        <v>0</v>
      </c>
      <c r="L1603" s="131">
        <v>0</v>
      </c>
      <c r="M1603" s="131">
        <f t="shared" si="199"/>
        <v>0</v>
      </c>
      <c r="N1603" s="157"/>
      <c r="O1603" s="131">
        <f t="shared" si="201"/>
        <v>0</v>
      </c>
      <c r="P1603" s="157"/>
    </row>
    <row r="1604" spans="1:16">
      <c r="A1604" s="77" t="s">
        <v>672</v>
      </c>
      <c r="B1604" s="77" t="s">
        <v>175</v>
      </c>
      <c r="C1604" s="537"/>
      <c r="D1604" s="537"/>
      <c r="E1604" s="290" t="s">
        <v>387</v>
      </c>
      <c r="F1604" s="291">
        <v>150600</v>
      </c>
      <c r="G1604" s="135"/>
      <c r="H1604" s="291">
        <v>50000</v>
      </c>
      <c r="I1604" s="291"/>
      <c r="J1604" s="135"/>
      <c r="K1604" s="291">
        <f t="shared" si="198"/>
        <v>200600</v>
      </c>
      <c r="L1604" s="291">
        <v>93000</v>
      </c>
      <c r="M1604" s="291">
        <f t="shared" si="199"/>
        <v>-57600</v>
      </c>
      <c r="N1604" s="282">
        <f t="shared" si="200"/>
        <v>-0.38247011952191234</v>
      </c>
      <c r="O1604" s="291">
        <f t="shared" si="201"/>
        <v>-107600</v>
      </c>
      <c r="P1604" s="282">
        <f t="shared" si="202"/>
        <v>-0.53639082751744771</v>
      </c>
    </row>
    <row r="1605" spans="1:16">
      <c r="E1605" s="130" t="s">
        <v>303</v>
      </c>
      <c r="F1605" s="124">
        <v>350</v>
      </c>
      <c r="G1605" s="135"/>
      <c r="H1605" s="136"/>
      <c r="I1605" s="136"/>
      <c r="J1605" s="135"/>
      <c r="K1605" s="124">
        <f t="shared" si="198"/>
        <v>350</v>
      </c>
      <c r="L1605" s="124">
        <v>350</v>
      </c>
      <c r="M1605" s="124">
        <f t="shared" si="199"/>
        <v>0</v>
      </c>
      <c r="N1605" s="270">
        <f t="shared" si="200"/>
        <v>0</v>
      </c>
      <c r="O1605" s="124">
        <f t="shared" si="201"/>
        <v>0</v>
      </c>
      <c r="P1605" s="270">
        <f t="shared" si="202"/>
        <v>0</v>
      </c>
    </row>
    <row r="1606" spans="1:16">
      <c r="E1606" s="323" t="s">
        <v>401</v>
      </c>
      <c r="F1606" s="124">
        <v>5000</v>
      </c>
      <c r="G1606" s="135"/>
      <c r="H1606" s="124">
        <v>-5000</v>
      </c>
      <c r="I1606" s="124"/>
      <c r="J1606" s="135"/>
      <c r="K1606" s="124">
        <f t="shared" si="198"/>
        <v>0</v>
      </c>
      <c r="L1606" s="124">
        <v>5000</v>
      </c>
      <c r="M1606" s="124">
        <f t="shared" si="199"/>
        <v>0</v>
      </c>
      <c r="N1606" s="270">
        <f t="shared" si="200"/>
        <v>0</v>
      </c>
      <c r="O1606" s="124">
        <f t="shared" si="201"/>
        <v>5000</v>
      </c>
      <c r="P1606" s="270"/>
    </row>
    <row r="1607" spans="1:16">
      <c r="E1607" s="104"/>
      <c r="F1607" s="136"/>
      <c r="G1607" s="135"/>
      <c r="H1607" s="136"/>
      <c r="I1607" s="136"/>
      <c r="J1607" s="135"/>
      <c r="K1607" s="136">
        <f t="shared" si="198"/>
        <v>0</v>
      </c>
      <c r="L1607" s="136">
        <v>0</v>
      </c>
      <c r="M1607" s="136">
        <f t="shared" si="199"/>
        <v>0</v>
      </c>
      <c r="N1607" s="157"/>
      <c r="O1607" s="136">
        <f t="shared" si="201"/>
        <v>0</v>
      </c>
      <c r="P1607" s="157"/>
    </row>
    <row r="1608" spans="1:16">
      <c r="A1608" s="77" t="s">
        <v>672</v>
      </c>
      <c r="B1608" s="77" t="s">
        <v>175</v>
      </c>
      <c r="C1608" s="537"/>
      <c r="D1608" s="537"/>
      <c r="E1608" s="104" t="s">
        <v>141</v>
      </c>
      <c r="F1608" s="136">
        <v>4500</v>
      </c>
      <c r="G1608" s="135"/>
      <c r="H1608" s="136"/>
      <c r="I1608" s="136"/>
      <c r="J1608" s="135"/>
      <c r="K1608" s="136">
        <f t="shared" ref="K1608:K1671" si="213">F1608+G1608+H1608+J1608+I1608</f>
        <v>4500</v>
      </c>
      <c r="L1608" s="136">
        <v>4500</v>
      </c>
      <c r="M1608" s="136">
        <f t="shared" ref="M1608:M1671" si="214">L1608-F1608</f>
        <v>0</v>
      </c>
      <c r="N1608" s="157">
        <f t="shared" ref="N1608:N1670" si="215">M1608/F1608</f>
        <v>0</v>
      </c>
      <c r="O1608" s="136">
        <f t="shared" ref="O1608:O1671" si="216">L1608-K1608</f>
        <v>0</v>
      </c>
      <c r="P1608" s="157">
        <f t="shared" ref="P1608:P1670" si="217">O1608/K1608</f>
        <v>0</v>
      </c>
    </row>
    <row r="1609" spans="1:16">
      <c r="E1609" s="104"/>
      <c r="F1609" s="136"/>
      <c r="G1609" s="135"/>
      <c r="H1609" s="136"/>
      <c r="I1609" s="136"/>
      <c r="J1609" s="135"/>
      <c r="K1609" s="136">
        <f t="shared" si="213"/>
        <v>0</v>
      </c>
      <c r="L1609" s="136">
        <v>0</v>
      </c>
      <c r="M1609" s="136">
        <f t="shared" si="214"/>
        <v>0</v>
      </c>
      <c r="N1609" s="157"/>
      <c r="O1609" s="136">
        <f t="shared" si="216"/>
        <v>0</v>
      </c>
      <c r="P1609" s="157"/>
    </row>
    <row r="1610" spans="1:16">
      <c r="A1610" s="77" t="s">
        <v>659</v>
      </c>
      <c r="B1610" s="77" t="s">
        <v>175</v>
      </c>
      <c r="C1610" s="537"/>
      <c r="D1610" s="537"/>
      <c r="E1610" s="104" t="s">
        <v>939</v>
      </c>
      <c r="F1610" s="136">
        <f>23193+15500</f>
        <v>38693</v>
      </c>
      <c r="G1610" s="135"/>
      <c r="H1610" s="136">
        <v>-5510</v>
      </c>
      <c r="I1610" s="136"/>
      <c r="J1610" s="135"/>
      <c r="K1610" s="136">
        <f t="shared" si="213"/>
        <v>33183</v>
      </c>
      <c r="L1610" s="136">
        <v>50866</v>
      </c>
      <c r="M1610" s="136">
        <f t="shared" si="214"/>
        <v>12173</v>
      </c>
      <c r="N1610" s="157">
        <f t="shared" si="215"/>
        <v>0.31460470886206809</v>
      </c>
      <c r="O1610" s="136">
        <f t="shared" si="216"/>
        <v>17683</v>
      </c>
      <c r="P1610" s="157">
        <f t="shared" si="217"/>
        <v>0.53289334900400809</v>
      </c>
    </row>
    <row r="1611" spans="1:16">
      <c r="E1611" s="130" t="s">
        <v>47</v>
      </c>
      <c r="F1611" s="124">
        <v>17334</v>
      </c>
      <c r="G1611" s="135"/>
      <c r="H1611" s="124">
        <v>-4118</v>
      </c>
      <c r="I1611" s="124"/>
      <c r="J1611" s="135"/>
      <c r="K1611" s="124">
        <f t="shared" si="213"/>
        <v>13216</v>
      </c>
      <c r="L1611" s="124">
        <v>18009</v>
      </c>
      <c r="M1611" s="124">
        <f t="shared" si="214"/>
        <v>675</v>
      </c>
      <c r="N1611" s="270">
        <f t="shared" si="215"/>
        <v>3.8940809968847349E-2</v>
      </c>
      <c r="O1611" s="124">
        <f t="shared" si="216"/>
        <v>4793</v>
      </c>
      <c r="P1611" s="270">
        <f t="shared" si="217"/>
        <v>0.36266646489104115</v>
      </c>
    </row>
    <row r="1612" spans="1:16">
      <c r="E1612" s="104"/>
      <c r="F1612" s="136"/>
      <c r="G1612" s="135"/>
      <c r="H1612" s="136"/>
      <c r="I1612" s="136"/>
      <c r="J1612" s="135"/>
      <c r="K1612" s="136">
        <f t="shared" si="213"/>
        <v>0</v>
      </c>
      <c r="L1612" s="136">
        <v>0</v>
      </c>
      <c r="M1612" s="136">
        <f t="shared" si="214"/>
        <v>0</v>
      </c>
      <c r="N1612" s="157"/>
      <c r="O1612" s="136">
        <f t="shared" si="216"/>
        <v>0</v>
      </c>
      <c r="P1612" s="157"/>
    </row>
    <row r="1613" spans="1:16">
      <c r="A1613" s="77" t="s">
        <v>659</v>
      </c>
      <c r="B1613" s="77" t="s">
        <v>175</v>
      </c>
      <c r="E1613" s="104" t="s">
        <v>1196</v>
      </c>
      <c r="F1613" s="136"/>
      <c r="G1613" s="135"/>
      <c r="H1613" s="136"/>
      <c r="I1613" s="136"/>
      <c r="J1613" s="135"/>
      <c r="K1613" s="136">
        <f t="shared" si="213"/>
        <v>0</v>
      </c>
      <c r="L1613" s="136">
        <v>15000</v>
      </c>
      <c r="M1613" s="136">
        <f t="shared" si="214"/>
        <v>15000</v>
      </c>
      <c r="N1613" s="157"/>
      <c r="O1613" s="136">
        <f t="shared" si="216"/>
        <v>15000</v>
      </c>
      <c r="P1613" s="157"/>
    </row>
    <row r="1614" spans="1:16">
      <c r="E1614" s="104"/>
      <c r="F1614" s="136"/>
      <c r="G1614" s="135"/>
      <c r="H1614" s="136"/>
      <c r="I1614" s="136"/>
      <c r="J1614" s="135"/>
      <c r="K1614" s="136">
        <f t="shared" si="213"/>
        <v>0</v>
      </c>
      <c r="L1614" s="136">
        <v>0</v>
      </c>
      <c r="M1614" s="136">
        <f t="shared" si="214"/>
        <v>0</v>
      </c>
      <c r="N1614" s="157"/>
      <c r="O1614" s="136">
        <f t="shared" si="216"/>
        <v>0</v>
      </c>
      <c r="P1614" s="157"/>
    </row>
    <row r="1615" spans="1:16">
      <c r="A1615" s="77" t="s">
        <v>675</v>
      </c>
      <c r="B1615" s="77" t="s">
        <v>175</v>
      </c>
      <c r="C1615" s="537"/>
      <c r="D1615" s="537"/>
      <c r="E1615" s="290" t="s">
        <v>169</v>
      </c>
      <c r="F1615" s="291">
        <v>57000</v>
      </c>
      <c r="G1615" s="135"/>
      <c r="H1615" s="136"/>
      <c r="I1615" s="136">
        <v>4000</v>
      </c>
      <c r="J1615" s="135"/>
      <c r="K1615" s="291">
        <f t="shared" si="213"/>
        <v>61000</v>
      </c>
      <c r="L1615" s="291">
        <v>57000</v>
      </c>
      <c r="M1615" s="291">
        <f t="shared" si="214"/>
        <v>0</v>
      </c>
      <c r="N1615" s="282">
        <f t="shared" si="215"/>
        <v>0</v>
      </c>
      <c r="O1615" s="291">
        <f t="shared" si="216"/>
        <v>-4000</v>
      </c>
      <c r="P1615" s="282">
        <f t="shared" si="217"/>
        <v>-6.5573770491803282E-2</v>
      </c>
    </row>
    <row r="1616" spans="1:16">
      <c r="E1616" s="104"/>
      <c r="F1616" s="136"/>
      <c r="G1616" s="135"/>
      <c r="H1616" s="136"/>
      <c r="I1616" s="10"/>
      <c r="J1616" s="135"/>
      <c r="K1616" s="136">
        <f t="shared" si="213"/>
        <v>0</v>
      </c>
      <c r="L1616" s="136">
        <v>0</v>
      </c>
      <c r="M1616" s="136">
        <f t="shared" si="214"/>
        <v>0</v>
      </c>
      <c r="N1616" s="157"/>
      <c r="O1616" s="136">
        <f t="shared" si="216"/>
        <v>0</v>
      </c>
      <c r="P1616" s="157"/>
    </row>
    <row r="1617" spans="1:16">
      <c r="A1617" s="77" t="s">
        <v>675</v>
      </c>
      <c r="B1617" s="77" t="s">
        <v>175</v>
      </c>
      <c r="C1617" s="537"/>
      <c r="D1617" s="537"/>
      <c r="E1617" s="104" t="s">
        <v>238</v>
      </c>
      <c r="F1617" s="136">
        <v>4000</v>
      </c>
      <c r="G1617" s="135"/>
      <c r="H1617" s="136"/>
      <c r="I1617" s="15">
        <v>-4000</v>
      </c>
      <c r="J1617" s="135"/>
      <c r="K1617" s="136">
        <f t="shared" si="213"/>
        <v>0</v>
      </c>
      <c r="L1617" s="136">
        <v>4000</v>
      </c>
      <c r="M1617" s="136">
        <f t="shared" si="214"/>
        <v>0</v>
      </c>
      <c r="N1617" s="157">
        <f t="shared" si="215"/>
        <v>0</v>
      </c>
      <c r="O1617" s="136">
        <f t="shared" si="216"/>
        <v>4000</v>
      </c>
      <c r="P1617" s="157"/>
    </row>
    <row r="1618" spans="1:16">
      <c r="E1618" s="271"/>
      <c r="F1618" s="128"/>
      <c r="G1618" s="135"/>
      <c r="H1618" s="136"/>
      <c r="I1618" s="136"/>
      <c r="J1618" s="135"/>
      <c r="K1618" s="128">
        <f t="shared" si="213"/>
        <v>0</v>
      </c>
      <c r="L1618" s="128">
        <v>0</v>
      </c>
      <c r="M1618" s="128">
        <f t="shared" si="214"/>
        <v>0</v>
      </c>
      <c r="N1618" s="91"/>
      <c r="O1618" s="128">
        <f t="shared" si="216"/>
        <v>0</v>
      </c>
      <c r="P1618" s="91"/>
    </row>
    <row r="1619" spans="1:16">
      <c r="A1619" s="77" t="s">
        <v>679</v>
      </c>
      <c r="B1619" s="77" t="s">
        <v>175</v>
      </c>
      <c r="C1619" s="537" t="s">
        <v>1021</v>
      </c>
      <c r="D1619" s="537" t="s">
        <v>1007</v>
      </c>
      <c r="E1619" s="290" t="s">
        <v>165</v>
      </c>
      <c r="F1619" s="291">
        <v>260457</v>
      </c>
      <c r="G1619" s="135"/>
      <c r="H1619" s="291">
        <v>2354</v>
      </c>
      <c r="I1619" s="291"/>
      <c r="J1619" s="135"/>
      <c r="K1619" s="291">
        <f t="shared" si="213"/>
        <v>262811</v>
      </c>
      <c r="L1619" s="291">
        <v>264150</v>
      </c>
      <c r="M1619" s="291">
        <f t="shared" si="214"/>
        <v>3693</v>
      </c>
      <c r="N1619" s="282">
        <f t="shared" si="215"/>
        <v>1.4178923968255796E-2</v>
      </c>
      <c r="O1619" s="291">
        <f t="shared" si="216"/>
        <v>1339</v>
      </c>
      <c r="P1619" s="282">
        <f t="shared" si="217"/>
        <v>5.094916118427311E-3</v>
      </c>
    </row>
    <row r="1620" spans="1:16">
      <c r="E1620" s="130" t="s">
        <v>47</v>
      </c>
      <c r="F1620" s="124">
        <v>8040</v>
      </c>
      <c r="G1620" s="135"/>
      <c r="H1620" s="124">
        <f>(900*8)-5600</f>
        <v>1600</v>
      </c>
      <c r="I1620" s="124"/>
      <c r="J1620" s="135"/>
      <c r="K1620" s="124">
        <f t="shared" si="213"/>
        <v>9640</v>
      </c>
      <c r="L1620" s="124">
        <v>10800</v>
      </c>
      <c r="M1620" s="124">
        <f t="shared" si="214"/>
        <v>2760</v>
      </c>
      <c r="N1620" s="270">
        <f t="shared" si="215"/>
        <v>0.34328358208955223</v>
      </c>
      <c r="O1620" s="124">
        <f t="shared" si="216"/>
        <v>1160</v>
      </c>
      <c r="P1620" s="270">
        <f t="shared" si="217"/>
        <v>0.12033195020746888</v>
      </c>
    </row>
    <row r="1621" spans="1:16">
      <c r="E1621" s="273"/>
      <c r="F1621" s="131"/>
      <c r="G1621" s="135"/>
      <c r="H1621" s="136"/>
      <c r="I1621" s="136"/>
      <c r="J1621" s="135"/>
      <c r="K1621" s="131">
        <f t="shared" si="213"/>
        <v>0</v>
      </c>
      <c r="L1621" s="131">
        <v>0</v>
      </c>
      <c r="M1621" s="131">
        <f t="shared" si="214"/>
        <v>0</v>
      </c>
      <c r="N1621" s="157"/>
      <c r="O1621" s="131">
        <f t="shared" si="216"/>
        <v>0</v>
      </c>
      <c r="P1621" s="157"/>
    </row>
    <row r="1622" spans="1:16">
      <c r="A1622" s="77" t="s">
        <v>678</v>
      </c>
      <c r="B1622" s="77" t="s">
        <v>175</v>
      </c>
      <c r="C1622" s="537" t="s">
        <v>1028</v>
      </c>
      <c r="D1622" s="537" t="s">
        <v>966</v>
      </c>
      <c r="E1622" s="273" t="s">
        <v>171</v>
      </c>
      <c r="F1622" s="131">
        <v>45720</v>
      </c>
      <c r="G1622" s="135"/>
      <c r="H1622" s="131">
        <v>3780</v>
      </c>
      <c r="I1622" s="136">
        <v>7920</v>
      </c>
      <c r="J1622" s="135"/>
      <c r="K1622" s="131">
        <f t="shared" si="213"/>
        <v>57420</v>
      </c>
      <c r="L1622" s="131">
        <v>45720</v>
      </c>
      <c r="M1622" s="131">
        <f t="shared" si="214"/>
        <v>0</v>
      </c>
      <c r="N1622" s="157">
        <f t="shared" si="215"/>
        <v>0</v>
      </c>
      <c r="O1622" s="131">
        <f t="shared" si="216"/>
        <v>-11700</v>
      </c>
      <c r="P1622" s="157">
        <f t="shared" si="217"/>
        <v>-0.20376175548589343</v>
      </c>
    </row>
    <row r="1623" spans="1:16">
      <c r="E1623" s="290"/>
      <c r="F1623" s="291"/>
      <c r="G1623" s="135"/>
      <c r="H1623" s="136"/>
      <c r="I1623" s="136"/>
      <c r="J1623" s="135"/>
      <c r="K1623" s="291">
        <f t="shared" si="213"/>
        <v>0</v>
      </c>
      <c r="L1623" s="291">
        <v>0</v>
      </c>
      <c r="M1623" s="291">
        <f t="shared" si="214"/>
        <v>0</v>
      </c>
      <c r="N1623" s="282"/>
      <c r="O1623" s="291">
        <f t="shared" si="216"/>
        <v>0</v>
      </c>
      <c r="P1623" s="282"/>
    </row>
    <row r="1624" spans="1:16">
      <c r="A1624" s="77" t="s">
        <v>678</v>
      </c>
      <c r="B1624" s="77" t="s">
        <v>175</v>
      </c>
      <c r="C1624" s="537" t="s">
        <v>1028</v>
      </c>
      <c r="D1624" s="537" t="s">
        <v>966</v>
      </c>
      <c r="E1624" s="273" t="s">
        <v>154</v>
      </c>
      <c r="F1624" s="131">
        <v>29940</v>
      </c>
      <c r="G1624" s="135"/>
      <c r="H1624" s="136"/>
      <c r="I1624" s="136"/>
      <c r="J1624" s="135"/>
      <c r="K1624" s="131">
        <f t="shared" si="213"/>
        <v>29940</v>
      </c>
      <c r="L1624" s="131">
        <v>29940</v>
      </c>
      <c r="M1624" s="131">
        <f t="shared" si="214"/>
        <v>0</v>
      </c>
      <c r="N1624" s="157">
        <f t="shared" si="215"/>
        <v>0</v>
      </c>
      <c r="O1624" s="131">
        <f t="shared" si="216"/>
        <v>0</v>
      </c>
      <c r="P1624" s="157">
        <f t="shared" si="217"/>
        <v>0</v>
      </c>
    </row>
    <row r="1625" spans="1:16">
      <c r="E1625" s="271"/>
      <c r="F1625" s="128"/>
      <c r="G1625" s="135"/>
      <c r="H1625" s="136"/>
      <c r="I1625" s="136"/>
      <c r="J1625" s="135"/>
      <c r="K1625" s="128">
        <f t="shared" si="213"/>
        <v>0</v>
      </c>
      <c r="L1625" s="128">
        <v>0</v>
      </c>
      <c r="M1625" s="128">
        <f t="shared" si="214"/>
        <v>0</v>
      </c>
      <c r="N1625" s="91"/>
      <c r="O1625" s="128">
        <f t="shared" si="216"/>
        <v>0</v>
      </c>
      <c r="P1625" s="91"/>
    </row>
    <row r="1626" spans="1:16">
      <c r="A1626" s="77" t="s">
        <v>692</v>
      </c>
      <c r="B1626" s="77" t="s">
        <v>175</v>
      </c>
      <c r="C1626" s="537"/>
      <c r="D1626" s="537"/>
      <c r="E1626" s="273" t="s">
        <v>172</v>
      </c>
      <c r="F1626" s="131">
        <v>13500</v>
      </c>
      <c r="G1626" s="135"/>
      <c r="H1626" s="136"/>
      <c r="I1626" s="136"/>
      <c r="J1626" s="135"/>
      <c r="K1626" s="131">
        <f t="shared" si="213"/>
        <v>13500</v>
      </c>
      <c r="L1626" s="131">
        <v>9400</v>
      </c>
      <c r="M1626" s="131">
        <f t="shared" si="214"/>
        <v>-4100</v>
      </c>
      <c r="N1626" s="157">
        <f t="shared" si="215"/>
        <v>-0.3037037037037037</v>
      </c>
      <c r="O1626" s="131">
        <f t="shared" si="216"/>
        <v>-4100</v>
      </c>
      <c r="P1626" s="157">
        <f t="shared" si="217"/>
        <v>-0.3037037037037037</v>
      </c>
    </row>
    <row r="1627" spans="1:16">
      <c r="E1627" s="147"/>
      <c r="F1627" s="136"/>
      <c r="G1627" s="135"/>
      <c r="H1627" s="136"/>
      <c r="I1627" s="136"/>
      <c r="J1627" s="135"/>
      <c r="K1627" s="136">
        <f t="shared" si="213"/>
        <v>0</v>
      </c>
      <c r="L1627" s="136">
        <v>0</v>
      </c>
      <c r="M1627" s="136">
        <f t="shared" si="214"/>
        <v>0</v>
      </c>
      <c r="N1627" s="157"/>
      <c r="O1627" s="136">
        <f t="shared" si="216"/>
        <v>0</v>
      </c>
      <c r="P1627" s="157"/>
    </row>
    <row r="1628" spans="1:16">
      <c r="E1628" s="147"/>
      <c r="F1628" s="136"/>
      <c r="G1628" s="135"/>
      <c r="H1628" s="136"/>
      <c r="I1628" s="136"/>
      <c r="J1628" s="135"/>
      <c r="K1628" s="136">
        <f t="shared" si="213"/>
        <v>0</v>
      </c>
      <c r="L1628" s="136">
        <v>0</v>
      </c>
      <c r="M1628" s="136">
        <f t="shared" si="214"/>
        <v>0</v>
      </c>
      <c r="N1628" s="157"/>
      <c r="O1628" s="136">
        <f t="shared" si="216"/>
        <v>0</v>
      </c>
      <c r="P1628" s="157"/>
    </row>
    <row r="1629" spans="1:16" ht="15.6">
      <c r="E1629" s="259" t="s">
        <v>176</v>
      </c>
      <c r="F1629" s="260"/>
      <c r="G1629" s="135"/>
      <c r="H1629" s="136"/>
      <c r="I1629" s="136"/>
      <c r="J1629" s="135"/>
      <c r="K1629" s="260">
        <f t="shared" si="213"/>
        <v>0</v>
      </c>
      <c r="L1629" s="260">
        <v>0</v>
      </c>
      <c r="M1629" s="260">
        <f t="shared" si="214"/>
        <v>0</v>
      </c>
      <c r="N1629" s="275"/>
      <c r="O1629" s="260">
        <f t="shared" si="216"/>
        <v>0</v>
      </c>
      <c r="P1629" s="275"/>
    </row>
    <row r="1630" spans="1:16">
      <c r="E1630" s="147"/>
      <c r="F1630" s="136"/>
      <c r="G1630" s="135"/>
      <c r="H1630" s="136"/>
      <c r="I1630" s="136"/>
      <c r="J1630" s="135"/>
      <c r="K1630" s="136">
        <f t="shared" si="213"/>
        <v>0</v>
      </c>
      <c r="L1630" s="136">
        <v>0</v>
      </c>
      <c r="M1630" s="136">
        <f t="shared" si="214"/>
        <v>0</v>
      </c>
      <c r="N1630" s="157"/>
      <c r="O1630" s="136">
        <f t="shared" si="216"/>
        <v>0</v>
      </c>
      <c r="P1630" s="157"/>
    </row>
    <row r="1631" spans="1:16">
      <c r="E1631" s="261" t="s">
        <v>98</v>
      </c>
      <c r="F1631" s="127">
        <f>F1638+F1651+F1679+F1676+F1645</f>
        <v>3737565</v>
      </c>
      <c r="G1631" s="127">
        <f t="shared" ref="G1631:H1631" si="218">G1638+G1651+G1679+G1676+G1645</f>
        <v>0</v>
      </c>
      <c r="H1631" s="127">
        <f t="shared" si="218"/>
        <v>77242</v>
      </c>
      <c r="I1631" s="127">
        <f>I1638+I1651+I1679+I1676+I1645</f>
        <v>126441</v>
      </c>
      <c r="J1631" s="127">
        <f>J1638+J1651+J1679+J1676+J1645</f>
        <v>251112</v>
      </c>
      <c r="K1631" s="127">
        <f t="shared" si="213"/>
        <v>4192360</v>
      </c>
      <c r="L1631" s="127">
        <f>L1638+L1651+L1679+L1676+L1645</f>
        <v>4327638</v>
      </c>
      <c r="M1631" s="127">
        <f t="shared" si="214"/>
        <v>590073</v>
      </c>
      <c r="N1631" s="160">
        <f t="shared" si="215"/>
        <v>0.1578763178700571</v>
      </c>
      <c r="O1631" s="127">
        <f t="shared" si="216"/>
        <v>135278</v>
      </c>
      <c r="P1631" s="160">
        <f t="shared" si="217"/>
        <v>3.2267744182274426E-2</v>
      </c>
    </row>
    <row r="1632" spans="1:16">
      <c r="E1632" s="262" t="s">
        <v>359</v>
      </c>
      <c r="F1632" s="128">
        <v>154417</v>
      </c>
      <c r="G1632" s="128"/>
      <c r="H1632" s="128"/>
      <c r="I1632" s="128"/>
      <c r="J1632" s="128"/>
      <c r="K1632" s="128">
        <f t="shared" si="213"/>
        <v>154417</v>
      </c>
      <c r="L1632" s="128">
        <v>209639</v>
      </c>
      <c r="M1632" s="128">
        <f t="shared" si="214"/>
        <v>55222</v>
      </c>
      <c r="N1632" s="91">
        <f t="shared" si="215"/>
        <v>0.3576160655886334</v>
      </c>
      <c r="O1632" s="128">
        <f t="shared" si="216"/>
        <v>55222</v>
      </c>
      <c r="P1632" s="91">
        <f t="shared" si="217"/>
        <v>0.3576160655886334</v>
      </c>
    </row>
    <row r="1633" spans="1:16">
      <c r="E1633" s="261" t="s">
        <v>44</v>
      </c>
      <c r="F1633" s="127">
        <f>F1634+F1635</f>
        <v>3737565</v>
      </c>
      <c r="G1633" s="127">
        <f t="shared" ref="G1633:H1633" si="219">G1634+G1635</f>
        <v>0</v>
      </c>
      <c r="H1633" s="127">
        <f t="shared" si="219"/>
        <v>77242</v>
      </c>
      <c r="I1633" s="127">
        <f>I1634+I1635</f>
        <v>126441</v>
      </c>
      <c r="J1633" s="127">
        <f>J1634+J1635</f>
        <v>251112</v>
      </c>
      <c r="K1633" s="127">
        <f t="shared" si="213"/>
        <v>4192360</v>
      </c>
      <c r="L1633" s="127">
        <f>L1634+L1635</f>
        <v>4327638</v>
      </c>
      <c r="M1633" s="127">
        <f t="shared" si="214"/>
        <v>590073</v>
      </c>
      <c r="N1633" s="160">
        <f t="shared" si="215"/>
        <v>0.1578763178700571</v>
      </c>
      <c r="O1633" s="127">
        <f t="shared" si="216"/>
        <v>135278</v>
      </c>
      <c r="P1633" s="160">
        <f t="shared" si="217"/>
        <v>3.2267744182274426E-2</v>
      </c>
    </row>
    <row r="1634" spans="1:16">
      <c r="E1634" s="262" t="s">
        <v>45</v>
      </c>
      <c r="F1634" s="128">
        <v>772655</v>
      </c>
      <c r="G1634" s="128"/>
      <c r="H1634" s="128">
        <v>27560</v>
      </c>
      <c r="I1634" s="128">
        <v>25100</v>
      </c>
      <c r="J1634" s="128"/>
      <c r="K1634" s="128">
        <f t="shared" si="213"/>
        <v>825315</v>
      </c>
      <c r="L1634" s="128">
        <v>818220</v>
      </c>
      <c r="M1634" s="128">
        <f t="shared" si="214"/>
        <v>45565</v>
      </c>
      <c r="N1634" s="91">
        <f t="shared" si="215"/>
        <v>5.8971986203415497E-2</v>
      </c>
      <c r="O1634" s="128">
        <f t="shared" si="216"/>
        <v>-7095</v>
      </c>
      <c r="P1634" s="91">
        <f t="shared" si="217"/>
        <v>-8.5967176169099071E-3</v>
      </c>
    </row>
    <row r="1635" spans="1:16">
      <c r="E1635" s="263" t="s">
        <v>46</v>
      </c>
      <c r="F1635" s="128">
        <f>F1631-F1634</f>
        <v>2964910</v>
      </c>
      <c r="G1635" s="128">
        <f t="shared" ref="G1635:H1635" si="220">G1631-G1634</f>
        <v>0</v>
      </c>
      <c r="H1635" s="128">
        <f t="shared" si="220"/>
        <v>49682</v>
      </c>
      <c r="I1635" s="128">
        <f>I1631-I1634</f>
        <v>101341</v>
      </c>
      <c r="J1635" s="128">
        <f>J1631-J1634</f>
        <v>251112</v>
      </c>
      <c r="K1635" s="128">
        <f t="shared" si="213"/>
        <v>3367045</v>
      </c>
      <c r="L1635" s="128">
        <f>L1631-L1634</f>
        <v>3509418</v>
      </c>
      <c r="M1635" s="128">
        <f t="shared" si="214"/>
        <v>544508</v>
      </c>
      <c r="N1635" s="91">
        <f t="shared" si="215"/>
        <v>0.18365076848875683</v>
      </c>
      <c r="O1635" s="128">
        <f t="shared" si="216"/>
        <v>142373</v>
      </c>
      <c r="P1635" s="91">
        <f t="shared" si="217"/>
        <v>4.2284258155147914E-2</v>
      </c>
    </row>
    <row r="1636" spans="1:16" s="10" customFormat="1">
      <c r="A1636" s="135"/>
      <c r="B1636" s="135"/>
      <c r="C1636" s="482"/>
      <c r="D1636" s="482"/>
      <c r="E1636" s="264" t="s">
        <v>718</v>
      </c>
      <c r="F1636" s="129">
        <f>F1640+F1649+F1656+F1661+F1666+F1670+F1674+F1682+F1692+F1700</f>
        <v>1774929</v>
      </c>
      <c r="G1636" s="129">
        <f t="shared" ref="G1636:H1636" si="221">G1640+G1649+G1656+G1661+G1666+G1670+G1674+G1682+G1692+G1700</f>
        <v>0</v>
      </c>
      <c r="H1636" s="129">
        <f t="shared" si="221"/>
        <v>-985</v>
      </c>
      <c r="I1636" s="129">
        <f>I1640+I1649+I1656+I1661+I1666+I1670+I1674+I1682+I1692+I1700</f>
        <v>-6359</v>
      </c>
      <c r="J1636" s="129">
        <f>J1640+J1649+J1656+J1661+J1666+J1670+J1674+J1682+J1692+J1700</f>
        <v>187678</v>
      </c>
      <c r="K1636" s="129">
        <f t="shared" si="213"/>
        <v>1955263</v>
      </c>
      <c r="L1636" s="129">
        <f>L1640+L1649+L1656+L1661+L1666+L1670+L1674+L1682+L1692+L1700</f>
        <v>2008796</v>
      </c>
      <c r="M1636" s="129">
        <f t="shared" si="214"/>
        <v>233867</v>
      </c>
      <c r="N1636" s="265">
        <f t="shared" si="215"/>
        <v>0.13176132679109981</v>
      </c>
      <c r="O1636" s="129">
        <f t="shared" si="216"/>
        <v>53533</v>
      </c>
      <c r="P1636" s="265">
        <f t="shared" si="217"/>
        <v>2.7378925494933419E-2</v>
      </c>
    </row>
    <row r="1637" spans="1:16">
      <c r="E1637" s="263"/>
      <c r="F1637" s="128"/>
      <c r="G1637" s="135"/>
      <c r="H1637" s="136"/>
      <c r="I1637" s="128"/>
      <c r="J1637" s="135"/>
      <c r="K1637" s="128">
        <f t="shared" si="213"/>
        <v>0</v>
      </c>
      <c r="L1637" s="128">
        <v>0</v>
      </c>
      <c r="M1637" s="128">
        <f t="shared" si="214"/>
        <v>0</v>
      </c>
      <c r="N1637" s="91"/>
      <c r="O1637" s="128">
        <f t="shared" si="216"/>
        <v>0</v>
      </c>
      <c r="P1637" s="91"/>
    </row>
    <row r="1638" spans="1:16" ht="13.8">
      <c r="A1638" s="77" t="s">
        <v>672</v>
      </c>
      <c r="B1638" s="77" t="s">
        <v>176</v>
      </c>
      <c r="E1638" s="443" t="s">
        <v>103</v>
      </c>
      <c r="F1638" s="444">
        <f>F1639</f>
        <v>328276</v>
      </c>
      <c r="G1638" s="444">
        <f t="shared" ref="G1638:H1638" si="222">G1639</f>
        <v>0</v>
      </c>
      <c r="H1638" s="444">
        <f t="shared" si="222"/>
        <v>395</v>
      </c>
      <c r="I1638" s="444">
        <f>I1639</f>
        <v>1600</v>
      </c>
      <c r="J1638" s="444">
        <f>J1639</f>
        <v>13266</v>
      </c>
      <c r="K1638" s="444">
        <f t="shared" si="213"/>
        <v>343537</v>
      </c>
      <c r="L1638" s="444">
        <f>L1639</f>
        <v>338129</v>
      </c>
      <c r="M1638" s="444">
        <f t="shared" si="214"/>
        <v>9853</v>
      </c>
      <c r="N1638" s="313">
        <f t="shared" si="215"/>
        <v>3.0014378145219268E-2</v>
      </c>
      <c r="O1638" s="444">
        <f t="shared" si="216"/>
        <v>-5408</v>
      </c>
      <c r="P1638" s="313">
        <f t="shared" si="217"/>
        <v>-1.5742118025132663E-2</v>
      </c>
    </row>
    <row r="1639" spans="1:16">
      <c r="C1639" s="537" t="s">
        <v>1001</v>
      </c>
      <c r="D1639" s="537" t="s">
        <v>977</v>
      </c>
      <c r="E1639" s="339" t="s">
        <v>569</v>
      </c>
      <c r="F1639" s="123">
        <f>SUM(F1642)</f>
        <v>328276</v>
      </c>
      <c r="G1639" s="123">
        <f t="shared" ref="G1639:H1639" si="223">SUM(G1642)</f>
        <v>0</v>
      </c>
      <c r="H1639" s="123">
        <f t="shared" si="223"/>
        <v>395</v>
      </c>
      <c r="I1639" s="123">
        <f>SUM(I1642)</f>
        <v>1600</v>
      </c>
      <c r="J1639" s="123">
        <f>SUM(J1642)</f>
        <v>13266</v>
      </c>
      <c r="K1639" s="123">
        <f t="shared" si="213"/>
        <v>343537</v>
      </c>
      <c r="L1639" s="123">
        <f>SUM(L1642)</f>
        <v>338129</v>
      </c>
      <c r="M1639" s="123">
        <f t="shared" si="214"/>
        <v>9853</v>
      </c>
      <c r="N1639" s="160">
        <f t="shared" si="215"/>
        <v>3.0014378145219268E-2</v>
      </c>
      <c r="O1639" s="123">
        <f t="shared" si="216"/>
        <v>-5408</v>
      </c>
      <c r="P1639" s="160">
        <f t="shared" si="217"/>
        <v>-1.5742118025132663E-2</v>
      </c>
    </row>
    <row r="1640" spans="1:16">
      <c r="E1640" s="132" t="s">
        <v>47</v>
      </c>
      <c r="F1640" s="124">
        <f t="shared" ref="F1640:I1640" si="224">SUM(F1643)</f>
        <v>157207</v>
      </c>
      <c r="G1640" s="124">
        <f t="shared" si="224"/>
        <v>0</v>
      </c>
      <c r="H1640" s="124">
        <f t="shared" si="224"/>
        <v>0</v>
      </c>
      <c r="I1640" s="124">
        <f t="shared" si="224"/>
        <v>0</v>
      </c>
      <c r="J1640" s="124">
        <f>SUM(J1643)</f>
        <v>9914</v>
      </c>
      <c r="K1640" s="124">
        <f t="shared" si="213"/>
        <v>167121</v>
      </c>
      <c r="L1640" s="124">
        <f t="shared" ref="L1640" si="225">SUM(L1643)</f>
        <v>168590</v>
      </c>
      <c r="M1640" s="124">
        <f t="shared" si="214"/>
        <v>11383</v>
      </c>
      <c r="N1640" s="270">
        <f t="shared" si="215"/>
        <v>7.2407717213610084E-2</v>
      </c>
      <c r="O1640" s="124">
        <f t="shared" si="216"/>
        <v>1469</v>
      </c>
      <c r="P1640" s="270">
        <f t="shared" si="217"/>
        <v>8.7900383554430622E-3</v>
      </c>
    </row>
    <row r="1641" spans="1:16">
      <c r="E1641" s="450" t="s">
        <v>101</v>
      </c>
      <c r="F1641" s="124"/>
      <c r="G1641" s="135"/>
      <c r="H1641" s="136"/>
      <c r="I1641" s="136"/>
      <c r="J1641" s="135"/>
      <c r="K1641" s="124">
        <f t="shared" si="213"/>
        <v>0</v>
      </c>
      <c r="L1641" s="124">
        <v>0</v>
      </c>
      <c r="M1641" s="124">
        <f t="shared" si="214"/>
        <v>0</v>
      </c>
      <c r="N1641" s="270"/>
      <c r="O1641" s="124">
        <f t="shared" si="216"/>
        <v>0</v>
      </c>
      <c r="P1641" s="270"/>
    </row>
    <row r="1642" spans="1:16">
      <c r="E1642" s="336" t="s">
        <v>872</v>
      </c>
      <c r="F1642" s="268">
        <v>328276</v>
      </c>
      <c r="G1642" s="135"/>
      <c r="H1642" s="268">
        <v>395</v>
      </c>
      <c r="I1642" s="268">
        <v>1600</v>
      </c>
      <c r="J1642" s="268">
        <v>13266</v>
      </c>
      <c r="K1642" s="268">
        <f t="shared" si="213"/>
        <v>343537</v>
      </c>
      <c r="L1642" s="268">
        <v>338129</v>
      </c>
      <c r="M1642" s="268">
        <f t="shared" si="214"/>
        <v>9853</v>
      </c>
      <c r="N1642" s="157">
        <f t="shared" si="215"/>
        <v>3.0014378145219268E-2</v>
      </c>
      <c r="O1642" s="268">
        <f t="shared" si="216"/>
        <v>-5408</v>
      </c>
      <c r="P1642" s="157">
        <f t="shared" si="217"/>
        <v>-1.5742118025132663E-2</v>
      </c>
    </row>
    <row r="1643" spans="1:16">
      <c r="E1643" s="323" t="s">
        <v>47</v>
      </c>
      <c r="F1643" s="124">
        <v>157207</v>
      </c>
      <c r="G1643" s="135"/>
      <c r="H1643" s="136"/>
      <c r="I1643" s="136"/>
      <c r="J1643" s="124">
        <v>9914</v>
      </c>
      <c r="K1643" s="124">
        <f t="shared" si="213"/>
        <v>167121</v>
      </c>
      <c r="L1643" s="124">
        <v>168590</v>
      </c>
      <c r="M1643" s="124">
        <f t="shared" si="214"/>
        <v>11383</v>
      </c>
      <c r="N1643" s="270">
        <f t="shared" si="215"/>
        <v>7.2407717213610084E-2</v>
      </c>
      <c r="O1643" s="124">
        <f t="shared" si="216"/>
        <v>1469</v>
      </c>
      <c r="P1643" s="270">
        <f t="shared" si="217"/>
        <v>8.7900383554430622E-3</v>
      </c>
    </row>
    <row r="1644" spans="1:16">
      <c r="E1644" s="367"/>
      <c r="F1644" s="353"/>
      <c r="G1644" s="135"/>
      <c r="H1644" s="136"/>
      <c r="I1644" s="136"/>
      <c r="J1644" s="135"/>
      <c r="K1644" s="353">
        <f t="shared" si="213"/>
        <v>0</v>
      </c>
      <c r="L1644" s="353">
        <v>0</v>
      </c>
      <c r="M1644" s="353">
        <f t="shared" si="214"/>
        <v>0</v>
      </c>
      <c r="N1644" s="287"/>
      <c r="O1644" s="353">
        <f t="shared" si="216"/>
        <v>0</v>
      </c>
      <c r="P1644" s="287"/>
    </row>
    <row r="1645" spans="1:16" ht="13.8">
      <c r="A1645" s="77" t="s">
        <v>674</v>
      </c>
      <c r="B1645" s="77" t="s">
        <v>176</v>
      </c>
      <c r="E1645" s="443" t="s">
        <v>105</v>
      </c>
      <c r="F1645" s="444">
        <f>F1646</f>
        <v>168254</v>
      </c>
      <c r="G1645" s="135"/>
      <c r="H1645" s="136"/>
      <c r="I1645" s="444">
        <f>I1646</f>
        <v>5500</v>
      </c>
      <c r="J1645" s="444">
        <f>J1646</f>
        <v>11860</v>
      </c>
      <c r="K1645" s="444">
        <f t="shared" si="213"/>
        <v>185614</v>
      </c>
      <c r="L1645" s="444">
        <f>L1646</f>
        <v>181192</v>
      </c>
      <c r="M1645" s="444">
        <f t="shared" si="214"/>
        <v>12938</v>
      </c>
      <c r="N1645" s="313">
        <f t="shared" si="215"/>
        <v>7.689564586874606E-2</v>
      </c>
      <c r="O1645" s="444">
        <f t="shared" si="216"/>
        <v>-4422</v>
      </c>
      <c r="P1645" s="313">
        <f t="shared" si="217"/>
        <v>-2.382363399312552E-2</v>
      </c>
    </row>
    <row r="1646" spans="1:16">
      <c r="C1646" s="537" t="s">
        <v>957</v>
      </c>
      <c r="D1646" s="537" t="s">
        <v>1022</v>
      </c>
      <c r="E1646" s="339" t="s">
        <v>106</v>
      </c>
      <c r="F1646" s="123">
        <f>F1648</f>
        <v>168254</v>
      </c>
      <c r="G1646" s="135"/>
      <c r="H1646" s="136"/>
      <c r="I1646" s="123">
        <f>I1648</f>
        <v>5500</v>
      </c>
      <c r="J1646" s="123">
        <f>J1648</f>
        <v>11860</v>
      </c>
      <c r="K1646" s="123">
        <f t="shared" si="213"/>
        <v>185614</v>
      </c>
      <c r="L1646" s="123">
        <f>L1648</f>
        <v>181192</v>
      </c>
      <c r="M1646" s="123">
        <f t="shared" si="214"/>
        <v>12938</v>
      </c>
      <c r="N1646" s="160">
        <f t="shared" si="215"/>
        <v>7.689564586874606E-2</v>
      </c>
      <c r="O1646" s="123">
        <f t="shared" si="216"/>
        <v>-4422</v>
      </c>
      <c r="P1646" s="160">
        <f t="shared" si="217"/>
        <v>-2.382363399312552E-2</v>
      </c>
    </row>
    <row r="1647" spans="1:16">
      <c r="E1647" s="450" t="s">
        <v>101</v>
      </c>
      <c r="F1647" s="127"/>
      <c r="G1647" s="135"/>
      <c r="H1647" s="136"/>
      <c r="I1647" s="136"/>
      <c r="J1647" s="135"/>
      <c r="K1647" s="127">
        <f t="shared" si="213"/>
        <v>0</v>
      </c>
      <c r="L1647" s="127">
        <v>0</v>
      </c>
      <c r="M1647" s="127">
        <f t="shared" si="214"/>
        <v>0</v>
      </c>
      <c r="N1647" s="160"/>
      <c r="O1647" s="127">
        <f t="shared" si="216"/>
        <v>0</v>
      </c>
      <c r="P1647" s="160"/>
    </row>
    <row r="1648" spans="1:16">
      <c r="E1648" s="336" t="s">
        <v>570</v>
      </c>
      <c r="F1648" s="268">
        <v>168254</v>
      </c>
      <c r="G1648" s="135"/>
      <c r="H1648" s="136"/>
      <c r="I1648" s="268">
        <v>5500</v>
      </c>
      <c r="J1648" s="268">
        <v>11860</v>
      </c>
      <c r="K1648" s="268">
        <f t="shared" si="213"/>
        <v>185614</v>
      </c>
      <c r="L1648" s="268">
        <v>181192</v>
      </c>
      <c r="M1648" s="268">
        <f t="shared" si="214"/>
        <v>12938</v>
      </c>
      <c r="N1648" s="157">
        <f t="shared" si="215"/>
        <v>7.689564586874606E-2</v>
      </c>
      <c r="O1648" s="268">
        <f t="shared" si="216"/>
        <v>-4422</v>
      </c>
      <c r="P1648" s="157">
        <f t="shared" si="217"/>
        <v>-2.382363399312552E-2</v>
      </c>
    </row>
    <row r="1649" spans="1:16">
      <c r="E1649" s="323" t="s">
        <v>47</v>
      </c>
      <c r="F1649" s="124">
        <v>99404</v>
      </c>
      <c r="G1649" s="135"/>
      <c r="H1649" s="136"/>
      <c r="I1649" s="124">
        <v>3700</v>
      </c>
      <c r="J1649" s="124">
        <v>8864</v>
      </c>
      <c r="K1649" s="124">
        <f t="shared" si="213"/>
        <v>111968</v>
      </c>
      <c r="L1649" s="124">
        <v>109074</v>
      </c>
      <c r="M1649" s="124">
        <f t="shared" si="214"/>
        <v>9670</v>
      </c>
      <c r="N1649" s="270">
        <f t="shared" si="215"/>
        <v>9.7279787533700854E-2</v>
      </c>
      <c r="O1649" s="124">
        <f t="shared" si="216"/>
        <v>-2894</v>
      </c>
      <c r="P1649" s="270">
        <f t="shared" si="217"/>
        <v>-2.5846670477279222E-2</v>
      </c>
    </row>
    <row r="1650" spans="1:16">
      <c r="E1650" s="297"/>
      <c r="F1650" s="298"/>
      <c r="G1650" s="135"/>
      <c r="H1650" s="136"/>
      <c r="I1650" s="136"/>
      <c r="J1650" s="135"/>
      <c r="K1650" s="298">
        <f t="shared" si="213"/>
        <v>0</v>
      </c>
      <c r="L1650" s="298">
        <v>0</v>
      </c>
      <c r="M1650" s="298">
        <f t="shared" si="214"/>
        <v>0</v>
      </c>
      <c r="N1650" s="299"/>
      <c r="O1650" s="298">
        <f t="shared" si="216"/>
        <v>0</v>
      </c>
      <c r="P1650" s="299"/>
    </row>
    <row r="1651" spans="1:16" ht="13.8">
      <c r="A1651" s="77" t="s">
        <v>675</v>
      </c>
      <c r="B1651" s="77" t="s">
        <v>176</v>
      </c>
      <c r="E1651" s="443" t="s">
        <v>108</v>
      </c>
      <c r="F1651" s="444">
        <f>F1653+F1658+F1663</f>
        <v>1047434</v>
      </c>
      <c r="G1651" s="444">
        <f t="shared" ref="G1651:H1651" si="226">G1653+G1658+G1663</f>
        <v>0</v>
      </c>
      <c r="H1651" s="444">
        <f t="shared" si="226"/>
        <v>0</v>
      </c>
      <c r="I1651" s="444">
        <f>I1653+I1658+I1663</f>
        <v>27600</v>
      </c>
      <c r="J1651" s="444">
        <f>J1653+J1658+J1663</f>
        <v>55911</v>
      </c>
      <c r="K1651" s="444">
        <f t="shared" si="213"/>
        <v>1130945</v>
      </c>
      <c r="L1651" s="444">
        <f>L1653+L1658+L1663</f>
        <v>1122924</v>
      </c>
      <c r="M1651" s="444">
        <f t="shared" si="214"/>
        <v>75490</v>
      </c>
      <c r="N1651" s="313">
        <f t="shared" si="215"/>
        <v>7.2071366787788055E-2</v>
      </c>
      <c r="O1651" s="444">
        <f t="shared" si="216"/>
        <v>-8021</v>
      </c>
      <c r="P1651" s="313">
        <f t="shared" si="217"/>
        <v>-7.0922989181613607E-3</v>
      </c>
    </row>
    <row r="1652" spans="1:16">
      <c r="E1652" s="130"/>
      <c r="F1652" s="124"/>
      <c r="G1652" s="124"/>
      <c r="H1652" s="124"/>
      <c r="I1652" s="124"/>
      <c r="J1652" s="135"/>
      <c r="K1652" s="124">
        <f t="shared" si="213"/>
        <v>0</v>
      </c>
      <c r="L1652" s="124"/>
      <c r="M1652" s="124">
        <f t="shared" si="214"/>
        <v>0</v>
      </c>
      <c r="N1652" s="270"/>
      <c r="O1652" s="124">
        <f t="shared" si="216"/>
        <v>0</v>
      </c>
      <c r="P1652" s="270"/>
    </row>
    <row r="1653" spans="1:16">
      <c r="C1653" s="537" t="s">
        <v>1029</v>
      </c>
      <c r="D1653" s="537" t="s">
        <v>996</v>
      </c>
      <c r="E1653" s="314" t="s">
        <v>115</v>
      </c>
      <c r="F1653" s="127">
        <f>F1655</f>
        <v>252153</v>
      </c>
      <c r="G1653" s="127">
        <f t="shared" ref="G1653:H1653" si="227">G1655</f>
        <v>0</v>
      </c>
      <c r="H1653" s="127">
        <f t="shared" si="227"/>
        <v>-5000</v>
      </c>
      <c r="I1653" s="127">
        <f>I1655</f>
        <v>8000</v>
      </c>
      <c r="J1653" s="127">
        <f>J1655</f>
        <v>11983</v>
      </c>
      <c r="K1653" s="127">
        <f t="shared" si="213"/>
        <v>267136</v>
      </c>
      <c r="L1653" s="127">
        <f>L1655</f>
        <v>263246</v>
      </c>
      <c r="M1653" s="127">
        <f t="shared" si="214"/>
        <v>11093</v>
      </c>
      <c r="N1653" s="160">
        <f t="shared" si="215"/>
        <v>4.3993131154497468E-2</v>
      </c>
      <c r="O1653" s="127">
        <f t="shared" si="216"/>
        <v>-3890</v>
      </c>
      <c r="P1653" s="160">
        <f t="shared" si="217"/>
        <v>-1.4561871106851941E-2</v>
      </c>
    </row>
    <row r="1654" spans="1:16">
      <c r="E1654" s="450" t="s">
        <v>101</v>
      </c>
      <c r="F1654" s="127"/>
      <c r="G1654" s="135"/>
      <c r="H1654" s="136"/>
      <c r="I1654" s="136"/>
      <c r="J1654" s="135"/>
      <c r="K1654" s="127">
        <f t="shared" si="213"/>
        <v>0</v>
      </c>
      <c r="L1654" s="127">
        <v>0</v>
      </c>
      <c r="M1654" s="127">
        <f t="shared" si="214"/>
        <v>0</v>
      </c>
      <c r="N1654" s="160"/>
      <c r="O1654" s="127">
        <f t="shared" si="216"/>
        <v>0</v>
      </c>
      <c r="P1654" s="160"/>
    </row>
    <row r="1655" spans="1:16">
      <c r="E1655" s="336" t="s">
        <v>662</v>
      </c>
      <c r="F1655" s="268">
        <v>252153</v>
      </c>
      <c r="G1655" s="135"/>
      <c r="H1655" s="268">
        <v>-5000</v>
      </c>
      <c r="I1655" s="268">
        <f>10500-2500</f>
        <v>8000</v>
      </c>
      <c r="J1655" s="268">
        <v>11983</v>
      </c>
      <c r="K1655" s="268">
        <f t="shared" si="213"/>
        <v>267136</v>
      </c>
      <c r="L1655" s="268">
        <v>263246</v>
      </c>
      <c r="M1655" s="268">
        <f t="shared" si="214"/>
        <v>11093</v>
      </c>
      <c r="N1655" s="157">
        <f t="shared" si="215"/>
        <v>4.3993131154497468E-2</v>
      </c>
      <c r="O1655" s="268">
        <f t="shared" si="216"/>
        <v>-3890</v>
      </c>
      <c r="P1655" s="157">
        <f t="shared" si="217"/>
        <v>-1.4561871106851941E-2</v>
      </c>
    </row>
    <row r="1656" spans="1:16">
      <c r="E1656" s="323" t="s">
        <v>47</v>
      </c>
      <c r="F1656" s="124">
        <v>106046</v>
      </c>
      <c r="G1656" s="135"/>
      <c r="H1656" s="136"/>
      <c r="I1656" s="136"/>
      <c r="J1656" s="124">
        <v>8956</v>
      </c>
      <c r="K1656" s="124">
        <f t="shared" si="213"/>
        <v>115002</v>
      </c>
      <c r="L1656" s="124">
        <v>118754</v>
      </c>
      <c r="M1656" s="124">
        <f t="shared" si="214"/>
        <v>12708</v>
      </c>
      <c r="N1656" s="270">
        <f t="shared" si="215"/>
        <v>0.11983478867661204</v>
      </c>
      <c r="O1656" s="124">
        <f t="shared" si="216"/>
        <v>3752</v>
      </c>
      <c r="P1656" s="270">
        <f t="shared" si="217"/>
        <v>3.2625519556181634E-2</v>
      </c>
    </row>
    <row r="1657" spans="1:16">
      <c r="E1657" s="297"/>
      <c r="F1657" s="298"/>
      <c r="G1657" s="135"/>
      <c r="H1657" s="136"/>
      <c r="I1657" s="136"/>
      <c r="J1657" s="298"/>
      <c r="K1657" s="298">
        <f t="shared" si="213"/>
        <v>0</v>
      </c>
      <c r="L1657" s="298">
        <v>0</v>
      </c>
      <c r="M1657" s="298">
        <f t="shared" si="214"/>
        <v>0</v>
      </c>
      <c r="N1657" s="299"/>
      <c r="O1657" s="298">
        <f t="shared" si="216"/>
        <v>0</v>
      </c>
      <c r="P1657" s="299"/>
    </row>
    <row r="1658" spans="1:16">
      <c r="C1658" s="537" t="s">
        <v>1029</v>
      </c>
      <c r="D1658" s="537" t="s">
        <v>952</v>
      </c>
      <c r="E1658" s="314" t="s">
        <v>119</v>
      </c>
      <c r="F1658" s="127">
        <f>F1660</f>
        <v>150638</v>
      </c>
      <c r="G1658" s="127">
        <f t="shared" ref="G1658:H1658" si="228">G1660</f>
        <v>0</v>
      </c>
      <c r="H1658" s="127">
        <f t="shared" si="228"/>
        <v>10000</v>
      </c>
      <c r="I1658" s="127">
        <f>I1660</f>
        <v>0</v>
      </c>
      <c r="J1658" s="127">
        <f>J1660</f>
        <v>9144</v>
      </c>
      <c r="K1658" s="127">
        <f t="shared" si="213"/>
        <v>169782</v>
      </c>
      <c r="L1658" s="127">
        <f>L1660</f>
        <v>171344</v>
      </c>
      <c r="M1658" s="127">
        <f t="shared" si="214"/>
        <v>20706</v>
      </c>
      <c r="N1658" s="160">
        <f t="shared" si="215"/>
        <v>0.13745535655014007</v>
      </c>
      <c r="O1658" s="127">
        <f t="shared" si="216"/>
        <v>1562</v>
      </c>
      <c r="P1658" s="160">
        <f t="shared" si="217"/>
        <v>9.2000329834729232E-3</v>
      </c>
    </row>
    <row r="1659" spans="1:16">
      <c r="E1659" s="450" t="s">
        <v>101</v>
      </c>
      <c r="F1659" s="127"/>
      <c r="G1659" s="135"/>
      <c r="H1659" s="136"/>
      <c r="I1659" s="136"/>
      <c r="J1659" s="127"/>
      <c r="K1659" s="127">
        <f t="shared" si="213"/>
        <v>0</v>
      </c>
      <c r="L1659" s="127">
        <v>0</v>
      </c>
      <c r="M1659" s="127">
        <f t="shared" si="214"/>
        <v>0</v>
      </c>
      <c r="N1659" s="160"/>
      <c r="O1659" s="127">
        <f t="shared" si="216"/>
        <v>0</v>
      </c>
      <c r="P1659" s="160"/>
    </row>
    <row r="1660" spans="1:16">
      <c r="E1660" s="336" t="s">
        <v>571</v>
      </c>
      <c r="F1660" s="268">
        <v>150638</v>
      </c>
      <c r="G1660" s="135"/>
      <c r="H1660" s="268">
        <v>10000</v>
      </c>
      <c r="I1660" s="268"/>
      <c r="J1660" s="268">
        <v>9144</v>
      </c>
      <c r="K1660" s="268">
        <f t="shared" si="213"/>
        <v>169782</v>
      </c>
      <c r="L1660" s="268">
        <v>171344</v>
      </c>
      <c r="M1660" s="268">
        <f t="shared" si="214"/>
        <v>20706</v>
      </c>
      <c r="N1660" s="157">
        <f t="shared" si="215"/>
        <v>0.13745535655014007</v>
      </c>
      <c r="O1660" s="268">
        <f t="shared" si="216"/>
        <v>1562</v>
      </c>
      <c r="P1660" s="157">
        <f t="shared" si="217"/>
        <v>9.2000329834729232E-3</v>
      </c>
    </row>
    <row r="1661" spans="1:16">
      <c r="E1661" s="323" t="s">
        <v>47</v>
      </c>
      <c r="F1661" s="124">
        <v>103686</v>
      </c>
      <c r="G1661" s="135"/>
      <c r="H1661" s="136"/>
      <c r="I1661" s="136"/>
      <c r="J1661" s="124">
        <v>6834</v>
      </c>
      <c r="K1661" s="124">
        <f t="shared" si="213"/>
        <v>110520</v>
      </c>
      <c r="L1661" s="124">
        <v>110777</v>
      </c>
      <c r="M1661" s="124">
        <f t="shared" si="214"/>
        <v>7091</v>
      </c>
      <c r="N1661" s="270">
        <f t="shared" si="215"/>
        <v>6.8389175009162279E-2</v>
      </c>
      <c r="O1661" s="124">
        <f t="shared" si="216"/>
        <v>257</v>
      </c>
      <c r="P1661" s="270">
        <f t="shared" si="217"/>
        <v>2.3253709735794425E-3</v>
      </c>
    </row>
    <row r="1662" spans="1:16">
      <c r="E1662" s="297"/>
      <c r="F1662" s="298"/>
      <c r="G1662" s="135"/>
      <c r="H1662" s="136"/>
      <c r="I1662" s="136"/>
      <c r="J1662" s="298"/>
      <c r="K1662" s="298">
        <f t="shared" si="213"/>
        <v>0</v>
      </c>
      <c r="L1662" s="298">
        <v>0</v>
      </c>
      <c r="M1662" s="298">
        <f t="shared" si="214"/>
        <v>0</v>
      </c>
      <c r="N1662" s="299"/>
      <c r="O1662" s="298">
        <f t="shared" si="216"/>
        <v>0</v>
      </c>
      <c r="P1662" s="299"/>
    </row>
    <row r="1663" spans="1:16" ht="26.4">
      <c r="C1663" s="537" t="s">
        <v>1029</v>
      </c>
      <c r="D1663" s="537" t="s">
        <v>982</v>
      </c>
      <c r="E1663" s="449" t="s">
        <v>167</v>
      </c>
      <c r="F1663" s="419">
        <f>F1665+F1669+F1673</f>
        <v>644643</v>
      </c>
      <c r="G1663" s="419">
        <f t="shared" ref="G1663:H1663" si="229">G1665+G1669+G1673</f>
        <v>0</v>
      </c>
      <c r="H1663" s="419">
        <f t="shared" si="229"/>
        <v>-5000</v>
      </c>
      <c r="I1663" s="419">
        <f>I1665+I1669+I1673</f>
        <v>19600</v>
      </c>
      <c r="J1663" s="419">
        <f>J1665+J1669+J1673</f>
        <v>34784</v>
      </c>
      <c r="K1663" s="419">
        <f t="shared" si="213"/>
        <v>694027</v>
      </c>
      <c r="L1663" s="419">
        <f>L1665+L1669+L1673</f>
        <v>688334</v>
      </c>
      <c r="M1663" s="419">
        <f t="shared" si="214"/>
        <v>43691</v>
      </c>
      <c r="N1663" s="370">
        <f t="shared" si="215"/>
        <v>6.7775497445873148E-2</v>
      </c>
      <c r="O1663" s="419">
        <f t="shared" si="216"/>
        <v>-5693</v>
      </c>
      <c r="P1663" s="370">
        <f t="shared" si="217"/>
        <v>-8.2028508977316436E-3</v>
      </c>
    </row>
    <row r="1664" spans="1:16">
      <c r="E1664" s="450" t="s">
        <v>101</v>
      </c>
      <c r="F1664" s="127"/>
      <c r="G1664" s="135"/>
      <c r="H1664" s="136"/>
      <c r="I1664" s="136"/>
      <c r="J1664" s="127"/>
      <c r="K1664" s="127">
        <f t="shared" si="213"/>
        <v>0</v>
      </c>
      <c r="L1664" s="127">
        <v>0</v>
      </c>
      <c r="M1664" s="127">
        <f t="shared" si="214"/>
        <v>0</v>
      </c>
      <c r="N1664" s="160"/>
      <c r="O1664" s="127">
        <f t="shared" si="216"/>
        <v>0</v>
      </c>
      <c r="P1664" s="160"/>
    </row>
    <row r="1665" spans="1:16">
      <c r="E1665" s="336" t="s">
        <v>572</v>
      </c>
      <c r="F1665" s="268">
        <v>169460</v>
      </c>
      <c r="G1665" s="135"/>
      <c r="H1665" s="136"/>
      <c r="I1665" s="268">
        <v>17100</v>
      </c>
      <c r="J1665" s="268">
        <v>3914</v>
      </c>
      <c r="K1665" s="268">
        <f t="shared" si="213"/>
        <v>190474</v>
      </c>
      <c r="L1665" s="268">
        <v>181418</v>
      </c>
      <c r="M1665" s="268">
        <f t="shared" si="214"/>
        <v>11958</v>
      </c>
      <c r="N1665" s="157">
        <f t="shared" si="215"/>
        <v>7.0565325150477989E-2</v>
      </c>
      <c r="O1665" s="268">
        <f t="shared" si="216"/>
        <v>-9056</v>
      </c>
      <c r="P1665" s="157">
        <f t="shared" si="217"/>
        <v>-4.7544546762287768E-2</v>
      </c>
    </row>
    <row r="1666" spans="1:16">
      <c r="E1666" s="323" t="s">
        <v>47</v>
      </c>
      <c r="F1666" s="124">
        <v>55287</v>
      </c>
      <c r="G1666" s="135"/>
      <c r="H1666" s="136"/>
      <c r="I1666" s="124">
        <f>13600-6800</f>
        <v>6800</v>
      </c>
      <c r="J1666" s="124">
        <v>2926</v>
      </c>
      <c r="K1666" s="124">
        <f t="shared" si="213"/>
        <v>65013</v>
      </c>
      <c r="L1666" s="124">
        <v>65335</v>
      </c>
      <c r="M1666" s="124">
        <f t="shared" si="214"/>
        <v>10048</v>
      </c>
      <c r="N1666" s="270">
        <f t="shared" si="215"/>
        <v>0.18174254345506177</v>
      </c>
      <c r="O1666" s="124">
        <f t="shared" si="216"/>
        <v>322</v>
      </c>
      <c r="P1666" s="270">
        <f t="shared" si="217"/>
        <v>4.9528555827296076E-3</v>
      </c>
    </row>
    <row r="1667" spans="1:16">
      <c r="E1667" s="297"/>
      <c r="F1667" s="298"/>
      <c r="G1667" s="135"/>
      <c r="H1667" s="136"/>
      <c r="I1667" s="136"/>
      <c r="J1667" s="298"/>
      <c r="K1667" s="298">
        <f t="shared" si="213"/>
        <v>0</v>
      </c>
      <c r="L1667" s="298">
        <v>0</v>
      </c>
      <c r="M1667" s="298">
        <f t="shared" si="214"/>
        <v>0</v>
      </c>
      <c r="N1667" s="299"/>
      <c r="O1667" s="298">
        <f t="shared" si="216"/>
        <v>0</v>
      </c>
      <c r="P1667" s="299"/>
    </row>
    <row r="1668" spans="1:16">
      <c r="E1668" s="450" t="s">
        <v>101</v>
      </c>
      <c r="F1668" s="127"/>
      <c r="G1668" s="135"/>
      <c r="H1668" s="136"/>
      <c r="I1668" s="136"/>
      <c r="J1668" s="127"/>
      <c r="K1668" s="127">
        <f t="shared" si="213"/>
        <v>0</v>
      </c>
      <c r="L1668" s="127">
        <v>0</v>
      </c>
      <c r="M1668" s="127">
        <f t="shared" si="214"/>
        <v>0</v>
      </c>
      <c r="N1668" s="160"/>
      <c r="O1668" s="127">
        <f t="shared" si="216"/>
        <v>0</v>
      </c>
      <c r="P1668" s="160"/>
    </row>
    <row r="1669" spans="1:16">
      <c r="E1669" s="336" t="s">
        <v>573</v>
      </c>
      <c r="F1669" s="268">
        <v>221981</v>
      </c>
      <c r="G1669" s="135"/>
      <c r="H1669" s="136"/>
      <c r="I1669" s="136"/>
      <c r="J1669" s="268">
        <v>17495</v>
      </c>
      <c r="K1669" s="268">
        <f t="shared" si="213"/>
        <v>239476</v>
      </c>
      <c r="L1669" s="268">
        <v>244323</v>
      </c>
      <c r="M1669" s="268">
        <f t="shared" si="214"/>
        <v>22342</v>
      </c>
      <c r="N1669" s="157">
        <f t="shared" si="215"/>
        <v>0.10064825367936896</v>
      </c>
      <c r="O1669" s="268">
        <f t="shared" si="216"/>
        <v>4847</v>
      </c>
      <c r="P1669" s="157">
        <f t="shared" si="217"/>
        <v>2.0240024052514658E-2</v>
      </c>
    </row>
    <row r="1670" spans="1:16">
      <c r="E1670" s="323" t="s">
        <v>47</v>
      </c>
      <c r="F1670" s="124">
        <v>162021</v>
      </c>
      <c r="G1670" s="135"/>
      <c r="H1670" s="136"/>
      <c r="I1670" s="136"/>
      <c r="J1670" s="124">
        <v>13076</v>
      </c>
      <c r="K1670" s="124">
        <f t="shared" si="213"/>
        <v>175097</v>
      </c>
      <c r="L1670" s="124">
        <v>179146</v>
      </c>
      <c r="M1670" s="124">
        <f t="shared" si="214"/>
        <v>17125</v>
      </c>
      <c r="N1670" s="270">
        <f t="shared" si="215"/>
        <v>0.10569617518716709</v>
      </c>
      <c r="O1670" s="124">
        <f t="shared" si="216"/>
        <v>4049</v>
      </c>
      <c r="P1670" s="270">
        <f t="shared" si="217"/>
        <v>2.3124325373935588E-2</v>
      </c>
    </row>
    <row r="1671" spans="1:16">
      <c r="E1671" s="271"/>
      <c r="F1671" s="128"/>
      <c r="G1671" s="135"/>
      <c r="H1671" s="136"/>
      <c r="I1671" s="136"/>
      <c r="J1671" s="128"/>
      <c r="K1671" s="128">
        <f t="shared" si="213"/>
        <v>0</v>
      </c>
      <c r="L1671" s="128">
        <v>0</v>
      </c>
      <c r="M1671" s="128">
        <f t="shared" si="214"/>
        <v>0</v>
      </c>
      <c r="N1671" s="91"/>
      <c r="O1671" s="128">
        <f t="shared" si="216"/>
        <v>0</v>
      </c>
      <c r="P1671" s="91"/>
    </row>
    <row r="1672" spans="1:16">
      <c r="E1672" s="450" t="s">
        <v>101</v>
      </c>
      <c r="F1672" s="127"/>
      <c r="G1672" s="135"/>
      <c r="H1672" s="136"/>
      <c r="I1672" s="136"/>
      <c r="J1672" s="127"/>
      <c r="K1672" s="127">
        <f t="shared" ref="K1672:K1735" si="230">F1672+G1672+H1672+J1672+I1672</f>
        <v>0</v>
      </c>
      <c r="L1672" s="127">
        <v>0</v>
      </c>
      <c r="M1672" s="127">
        <f t="shared" ref="M1672:M1735" si="231">L1672-F1672</f>
        <v>0</v>
      </c>
      <c r="N1672" s="160"/>
      <c r="O1672" s="127">
        <f t="shared" ref="O1672:O1735" si="232">L1672-K1672</f>
        <v>0</v>
      </c>
      <c r="P1672" s="160"/>
    </row>
    <row r="1673" spans="1:16">
      <c r="E1673" s="336" t="s">
        <v>574</v>
      </c>
      <c r="F1673" s="268">
        <v>253202</v>
      </c>
      <c r="G1673" s="135"/>
      <c r="H1673" s="268">
        <f>11000-16000</f>
        <v>-5000</v>
      </c>
      <c r="I1673" s="268">
        <v>2500</v>
      </c>
      <c r="J1673" s="268">
        <v>13375</v>
      </c>
      <c r="K1673" s="268">
        <f t="shared" si="230"/>
        <v>264077</v>
      </c>
      <c r="L1673" s="268">
        <v>262593</v>
      </c>
      <c r="M1673" s="268">
        <f t="shared" si="231"/>
        <v>9391</v>
      </c>
      <c r="N1673" s="157">
        <f t="shared" ref="N1673:N1735" si="233">M1673/F1673</f>
        <v>3.7088964542144214E-2</v>
      </c>
      <c r="O1673" s="268">
        <f t="shared" si="232"/>
        <v>-1484</v>
      </c>
      <c r="P1673" s="157">
        <f t="shared" ref="P1673:P1735" si="234">O1673/K1673</f>
        <v>-5.619573079064061E-3</v>
      </c>
    </row>
    <row r="1674" spans="1:16">
      <c r="E1674" s="323" t="s">
        <v>47</v>
      </c>
      <c r="F1674" s="124">
        <v>122688</v>
      </c>
      <c r="G1674" s="135"/>
      <c r="H1674" s="136"/>
      <c r="I1674" s="136"/>
      <c r="J1674" s="124">
        <v>9996</v>
      </c>
      <c r="K1674" s="124">
        <f t="shared" si="230"/>
        <v>132684</v>
      </c>
      <c r="L1674" s="124">
        <v>131083</v>
      </c>
      <c r="M1674" s="124">
        <f t="shared" si="231"/>
        <v>8395</v>
      </c>
      <c r="N1674" s="270">
        <f t="shared" si="233"/>
        <v>6.8425599895670319E-2</v>
      </c>
      <c r="O1674" s="124">
        <f t="shared" si="232"/>
        <v>-1601</v>
      </c>
      <c r="P1674" s="270">
        <f t="shared" si="234"/>
        <v>-1.2066262699345813E-2</v>
      </c>
    </row>
    <row r="1675" spans="1:16">
      <c r="E1675" s="323"/>
      <c r="F1675" s="124"/>
      <c r="G1675" s="135"/>
      <c r="H1675" s="136"/>
      <c r="I1675" s="136"/>
      <c r="J1675" s="124"/>
      <c r="K1675" s="124">
        <f t="shared" si="230"/>
        <v>0</v>
      </c>
      <c r="L1675" s="124">
        <v>0</v>
      </c>
      <c r="M1675" s="124">
        <f t="shared" si="231"/>
        <v>0</v>
      </c>
      <c r="N1675" s="270"/>
      <c r="O1675" s="124">
        <f t="shared" si="232"/>
        <v>0</v>
      </c>
      <c r="P1675" s="270"/>
    </row>
    <row r="1676" spans="1:16" ht="13.8">
      <c r="A1676" s="77" t="s">
        <v>679</v>
      </c>
      <c r="B1676" s="77" t="s">
        <v>176</v>
      </c>
      <c r="E1676" s="443" t="s">
        <v>163</v>
      </c>
      <c r="F1676" s="444">
        <f>F1677</f>
        <v>228000</v>
      </c>
      <c r="G1676" s="135"/>
      <c r="H1676" s="136"/>
      <c r="I1676" s="444">
        <f>I1677</f>
        <v>84600</v>
      </c>
      <c r="J1676" s="444"/>
      <c r="K1676" s="444">
        <f t="shared" si="230"/>
        <v>312600</v>
      </c>
      <c r="L1676" s="444">
        <f>L1677</f>
        <v>438500</v>
      </c>
      <c r="M1676" s="444">
        <f t="shared" si="231"/>
        <v>210500</v>
      </c>
      <c r="N1676" s="313">
        <f t="shared" si="233"/>
        <v>0.92324561403508776</v>
      </c>
      <c r="O1676" s="444">
        <f t="shared" si="232"/>
        <v>125900</v>
      </c>
      <c r="P1676" s="313">
        <f t="shared" si="234"/>
        <v>0.40275111964171467</v>
      </c>
    </row>
    <row r="1677" spans="1:16">
      <c r="C1677" s="537" t="s">
        <v>1021</v>
      </c>
      <c r="D1677" s="537" t="s">
        <v>949</v>
      </c>
      <c r="E1677" s="339" t="s">
        <v>164</v>
      </c>
      <c r="F1677" s="123">
        <v>228000</v>
      </c>
      <c r="G1677" s="135"/>
      <c r="H1677" s="136"/>
      <c r="I1677" s="123">
        <v>84600</v>
      </c>
      <c r="J1677" s="123"/>
      <c r="K1677" s="123">
        <f t="shared" si="230"/>
        <v>312600</v>
      </c>
      <c r="L1677" s="123">
        <v>438500</v>
      </c>
      <c r="M1677" s="123">
        <f t="shared" si="231"/>
        <v>210500</v>
      </c>
      <c r="N1677" s="160">
        <f t="shared" si="233"/>
        <v>0.92324561403508776</v>
      </c>
      <c r="O1677" s="123">
        <f t="shared" si="232"/>
        <v>125900</v>
      </c>
      <c r="P1677" s="160">
        <f t="shared" si="234"/>
        <v>0.40275111964171467</v>
      </c>
    </row>
    <row r="1678" spans="1:16">
      <c r="E1678" s="263"/>
      <c r="F1678" s="128"/>
      <c r="G1678" s="135"/>
      <c r="H1678" s="136"/>
      <c r="I1678" s="136"/>
      <c r="J1678" s="128"/>
      <c r="K1678" s="128">
        <f t="shared" si="230"/>
        <v>0</v>
      </c>
      <c r="L1678" s="128">
        <v>0</v>
      </c>
      <c r="M1678" s="128">
        <f t="shared" si="231"/>
        <v>0</v>
      </c>
      <c r="N1678" s="91"/>
      <c r="O1678" s="128">
        <f t="shared" si="232"/>
        <v>0</v>
      </c>
      <c r="P1678" s="91"/>
    </row>
    <row r="1679" spans="1:16">
      <c r="E1679" s="426" t="s">
        <v>102</v>
      </c>
      <c r="F1679" s="427">
        <f>F1681++F1684+F1691+F1695+F1697+F1702+F1699+F1689+F1687</f>
        <v>1965601</v>
      </c>
      <c r="G1679" s="427">
        <f t="shared" ref="G1679:H1679" si="235">G1681++G1684+G1691+G1695+G1697+G1702+G1699+G1689+G1687</f>
        <v>0</v>
      </c>
      <c r="H1679" s="427">
        <f t="shared" si="235"/>
        <v>76847</v>
      </c>
      <c r="I1679" s="427">
        <f>I1681++I1684+I1691+I1695+I1697+I1702+I1699+I1689+I1687</f>
        <v>7141</v>
      </c>
      <c r="J1679" s="427">
        <f>J1681++J1684+J1691+J1695+J1697+J1702+J1699+J1689+J1687</f>
        <v>170075</v>
      </c>
      <c r="K1679" s="427">
        <f t="shared" si="230"/>
        <v>2219664</v>
      </c>
      <c r="L1679" s="427">
        <f>L1681++L1684+L1691+L1695+L1697+L1702+L1699+L1689+L1687</f>
        <v>2246893</v>
      </c>
      <c r="M1679" s="427">
        <f t="shared" si="231"/>
        <v>281292</v>
      </c>
      <c r="N1679" s="370">
        <f t="shared" si="233"/>
        <v>0.14310737530149811</v>
      </c>
      <c r="O1679" s="427">
        <f t="shared" si="232"/>
        <v>27229</v>
      </c>
      <c r="P1679" s="370">
        <f t="shared" si="234"/>
        <v>1.2267171968369987E-2</v>
      </c>
    </row>
    <row r="1680" spans="1:16">
      <c r="E1680" s="426"/>
      <c r="F1680" s="427"/>
      <c r="G1680" s="135"/>
      <c r="H1680" s="136"/>
      <c r="I1680" s="136"/>
      <c r="J1680" s="427"/>
      <c r="K1680" s="427">
        <f t="shared" si="230"/>
        <v>0</v>
      </c>
      <c r="L1680" s="427">
        <v>0</v>
      </c>
      <c r="M1680" s="427">
        <f t="shared" si="231"/>
        <v>0</v>
      </c>
      <c r="N1680" s="370"/>
      <c r="O1680" s="427">
        <f t="shared" si="232"/>
        <v>0</v>
      </c>
      <c r="P1680" s="370"/>
    </row>
    <row r="1681" spans="1:16">
      <c r="A1681" s="77" t="s">
        <v>670</v>
      </c>
      <c r="B1681" s="77" t="s">
        <v>176</v>
      </c>
      <c r="C1681" s="537"/>
      <c r="D1681" s="537"/>
      <c r="E1681" s="267" t="s">
        <v>168</v>
      </c>
      <c r="F1681" s="268">
        <v>1515753</v>
      </c>
      <c r="G1681" s="135"/>
      <c r="H1681" s="268">
        <v>11242</v>
      </c>
      <c r="I1681" s="268">
        <v>-8003</v>
      </c>
      <c r="J1681" s="268">
        <v>162809</v>
      </c>
      <c r="K1681" s="268">
        <f t="shared" si="230"/>
        <v>1681801</v>
      </c>
      <c r="L1681" s="268">
        <v>1775788</v>
      </c>
      <c r="M1681" s="268">
        <f t="shared" si="231"/>
        <v>260035</v>
      </c>
      <c r="N1681" s="157">
        <f t="shared" si="233"/>
        <v>0.17155499609764915</v>
      </c>
      <c r="O1681" s="268">
        <f t="shared" si="232"/>
        <v>93987</v>
      </c>
      <c r="P1681" s="157">
        <f t="shared" si="234"/>
        <v>5.5884733092678621E-2</v>
      </c>
    </row>
    <row r="1682" spans="1:16">
      <c r="E1682" s="130" t="s">
        <v>47</v>
      </c>
      <c r="F1682" s="124">
        <v>901378</v>
      </c>
      <c r="G1682" s="135"/>
      <c r="H1682" s="124">
        <v>-985</v>
      </c>
      <c r="I1682" s="124">
        <v>-11069</v>
      </c>
      <c r="J1682" s="124">
        <v>121681</v>
      </c>
      <c r="K1682" s="124">
        <f t="shared" si="230"/>
        <v>1011005</v>
      </c>
      <c r="L1682" s="124">
        <v>1067458</v>
      </c>
      <c r="M1682" s="124">
        <f t="shared" si="231"/>
        <v>166080</v>
      </c>
      <c r="N1682" s="270">
        <f t="shared" si="233"/>
        <v>0.18425122423666873</v>
      </c>
      <c r="O1682" s="124">
        <f t="shared" si="232"/>
        <v>56453</v>
      </c>
      <c r="P1682" s="270">
        <f t="shared" si="234"/>
        <v>5.5838497336808422E-2</v>
      </c>
    </row>
    <row r="1683" spans="1:16">
      <c r="E1683" s="296"/>
      <c r="F1683" s="277"/>
      <c r="G1683" s="135"/>
      <c r="H1683" s="136"/>
      <c r="I1683" s="136"/>
      <c r="J1683" s="277"/>
      <c r="K1683" s="277">
        <f t="shared" si="230"/>
        <v>0</v>
      </c>
      <c r="L1683" s="277">
        <v>0</v>
      </c>
      <c r="M1683" s="277">
        <f t="shared" si="231"/>
        <v>0</v>
      </c>
      <c r="N1683" s="278"/>
      <c r="O1683" s="277">
        <f t="shared" si="232"/>
        <v>0</v>
      </c>
      <c r="P1683" s="278"/>
    </row>
    <row r="1684" spans="1:16">
      <c r="A1684" s="77" t="s">
        <v>672</v>
      </c>
      <c r="B1684" s="77" t="s">
        <v>176</v>
      </c>
      <c r="C1684" s="537" t="s">
        <v>1001</v>
      </c>
      <c r="D1684" s="537" t="s">
        <v>947</v>
      </c>
      <c r="E1684" s="290" t="s">
        <v>387</v>
      </c>
      <c r="F1684" s="291">
        <v>65970</v>
      </c>
      <c r="G1684" s="135"/>
      <c r="H1684" s="268">
        <v>13500</v>
      </c>
      <c r="I1684" s="268"/>
      <c r="J1684" s="291"/>
      <c r="K1684" s="291">
        <f t="shared" si="230"/>
        <v>79470</v>
      </c>
      <c r="L1684" s="291">
        <v>102370</v>
      </c>
      <c r="M1684" s="291">
        <f t="shared" si="231"/>
        <v>36400</v>
      </c>
      <c r="N1684" s="282">
        <f t="shared" si="233"/>
        <v>0.5517659542216159</v>
      </c>
      <c r="O1684" s="291">
        <f t="shared" si="232"/>
        <v>22900</v>
      </c>
      <c r="P1684" s="282">
        <f t="shared" si="234"/>
        <v>0.28815905373096767</v>
      </c>
    </row>
    <row r="1685" spans="1:16">
      <c r="C1685" s="537"/>
      <c r="D1685" s="537"/>
      <c r="E1685" s="130" t="s">
        <v>1199</v>
      </c>
      <c r="F1685" s="291"/>
      <c r="G1685" s="135"/>
      <c r="H1685" s="268"/>
      <c r="I1685" s="268"/>
      <c r="J1685" s="291"/>
      <c r="K1685" s="291">
        <f t="shared" si="230"/>
        <v>0</v>
      </c>
      <c r="L1685" s="291">
        <v>30000</v>
      </c>
      <c r="M1685" s="291">
        <f t="shared" si="231"/>
        <v>30000</v>
      </c>
      <c r="N1685" s="282"/>
      <c r="O1685" s="291">
        <f t="shared" si="232"/>
        <v>30000</v>
      </c>
      <c r="P1685" s="282"/>
    </row>
    <row r="1686" spans="1:16">
      <c r="E1686" s="290"/>
      <c r="F1686" s="291"/>
      <c r="G1686" s="135"/>
      <c r="H1686" s="136"/>
      <c r="I1686" s="136"/>
      <c r="J1686" s="291"/>
      <c r="K1686" s="291">
        <f t="shared" si="230"/>
        <v>0</v>
      </c>
      <c r="L1686" s="291">
        <v>0</v>
      </c>
      <c r="M1686" s="291">
        <f t="shared" si="231"/>
        <v>0</v>
      </c>
      <c r="N1686" s="282"/>
      <c r="O1686" s="291">
        <f t="shared" si="232"/>
        <v>0</v>
      </c>
      <c r="P1686" s="282"/>
    </row>
    <row r="1687" spans="1:16">
      <c r="A1687" s="77" t="s">
        <v>672</v>
      </c>
      <c r="B1687" s="77" t="s">
        <v>176</v>
      </c>
      <c r="C1687" s="537"/>
      <c r="D1687" s="537"/>
      <c r="E1687" s="290" t="s">
        <v>141</v>
      </c>
      <c r="F1687" s="291">
        <v>7500</v>
      </c>
      <c r="G1687" s="135"/>
      <c r="H1687" s="136"/>
      <c r="I1687" s="136"/>
      <c r="J1687" s="291"/>
      <c r="K1687" s="291">
        <f t="shared" si="230"/>
        <v>7500</v>
      </c>
      <c r="L1687" s="291">
        <v>7500</v>
      </c>
      <c r="M1687" s="291">
        <f t="shared" si="231"/>
        <v>0</v>
      </c>
      <c r="N1687" s="282">
        <f t="shared" si="233"/>
        <v>0</v>
      </c>
      <c r="O1687" s="291">
        <f t="shared" si="232"/>
        <v>0</v>
      </c>
      <c r="P1687" s="282">
        <f t="shared" si="234"/>
        <v>0</v>
      </c>
    </row>
    <row r="1688" spans="1:16">
      <c r="E1688" s="290"/>
      <c r="F1688" s="291"/>
      <c r="G1688" s="135"/>
      <c r="H1688" s="136"/>
      <c r="I1688" s="136"/>
      <c r="J1688" s="291"/>
      <c r="K1688" s="291">
        <f t="shared" si="230"/>
        <v>0</v>
      </c>
      <c r="L1688" s="291">
        <v>0</v>
      </c>
      <c r="M1688" s="291">
        <f t="shared" si="231"/>
        <v>0</v>
      </c>
      <c r="N1688" s="282"/>
      <c r="O1688" s="291">
        <f t="shared" si="232"/>
        <v>0</v>
      </c>
      <c r="P1688" s="282"/>
    </row>
    <row r="1689" spans="1:16">
      <c r="A1689" s="77" t="s">
        <v>675</v>
      </c>
      <c r="B1689" s="77" t="s">
        <v>176</v>
      </c>
      <c r="C1689" s="537"/>
      <c r="D1689" s="537"/>
      <c r="E1689" s="290" t="s">
        <v>169</v>
      </c>
      <c r="F1689" s="291">
        <v>20000</v>
      </c>
      <c r="G1689" s="135"/>
      <c r="H1689" s="136"/>
      <c r="I1689" s="136"/>
      <c r="J1689" s="291"/>
      <c r="K1689" s="291">
        <f t="shared" si="230"/>
        <v>20000</v>
      </c>
      <c r="L1689" s="291">
        <v>20000</v>
      </c>
      <c r="M1689" s="291">
        <f t="shared" si="231"/>
        <v>0</v>
      </c>
      <c r="N1689" s="282">
        <f t="shared" si="233"/>
        <v>0</v>
      </c>
      <c r="O1689" s="291">
        <f t="shared" si="232"/>
        <v>0</v>
      </c>
      <c r="P1689" s="282">
        <f t="shared" si="234"/>
        <v>0</v>
      </c>
    </row>
    <row r="1690" spans="1:16">
      <c r="E1690" s="104"/>
      <c r="F1690" s="136"/>
      <c r="G1690" s="135"/>
      <c r="H1690" s="136"/>
      <c r="I1690" s="136"/>
      <c r="J1690" s="136"/>
      <c r="K1690" s="136">
        <f t="shared" si="230"/>
        <v>0</v>
      </c>
      <c r="L1690" s="136">
        <v>0</v>
      </c>
      <c r="M1690" s="136">
        <f t="shared" si="231"/>
        <v>0</v>
      </c>
      <c r="N1690" s="157"/>
      <c r="O1690" s="136">
        <f t="shared" si="232"/>
        <v>0</v>
      </c>
      <c r="P1690" s="157"/>
    </row>
    <row r="1691" spans="1:16">
      <c r="A1691" s="77" t="s">
        <v>679</v>
      </c>
      <c r="B1691" s="77" t="s">
        <v>176</v>
      </c>
      <c r="C1691" s="537" t="s">
        <v>972</v>
      </c>
      <c r="D1691" s="537" t="s">
        <v>945</v>
      </c>
      <c r="E1691" s="290" t="s">
        <v>165</v>
      </c>
      <c r="F1691" s="291">
        <v>133349</v>
      </c>
      <c r="G1691" s="135"/>
      <c r="H1691" s="136">
        <f>SUM(H1693)</f>
        <v>25000</v>
      </c>
      <c r="I1691" s="291">
        <v>5144</v>
      </c>
      <c r="J1691" s="291">
        <v>2293</v>
      </c>
      <c r="K1691" s="291">
        <f t="shared" si="230"/>
        <v>165786</v>
      </c>
      <c r="L1691" s="291">
        <v>88904</v>
      </c>
      <c r="M1691" s="291">
        <f t="shared" si="231"/>
        <v>-44445</v>
      </c>
      <c r="N1691" s="282">
        <f t="shared" si="233"/>
        <v>-0.33329833744535015</v>
      </c>
      <c r="O1691" s="291">
        <f t="shared" si="232"/>
        <v>-76882</v>
      </c>
      <c r="P1691" s="282">
        <f t="shared" si="234"/>
        <v>-0.46374241492043961</v>
      </c>
    </row>
    <row r="1692" spans="1:16">
      <c r="E1692" s="130" t="s">
        <v>47</v>
      </c>
      <c r="F1692" s="124">
        <v>14016</v>
      </c>
      <c r="G1692" s="135"/>
      <c r="H1692" s="136"/>
      <c r="I1692" s="124">
        <v>-5790</v>
      </c>
      <c r="J1692" s="124">
        <v>1714</v>
      </c>
      <c r="K1692" s="124">
        <f t="shared" si="230"/>
        <v>9940</v>
      </c>
      <c r="L1692" s="124">
        <v>0</v>
      </c>
      <c r="M1692" s="124">
        <f t="shared" si="231"/>
        <v>-14016</v>
      </c>
      <c r="N1692" s="270">
        <f t="shared" si="233"/>
        <v>-1</v>
      </c>
      <c r="O1692" s="124">
        <f t="shared" si="232"/>
        <v>-9940</v>
      </c>
      <c r="P1692" s="270">
        <f t="shared" si="234"/>
        <v>-1</v>
      </c>
    </row>
    <row r="1693" spans="1:16">
      <c r="E1693" s="132" t="s">
        <v>940</v>
      </c>
      <c r="F1693" s="124"/>
      <c r="G1693" s="135"/>
      <c r="H1693" s="124">
        <v>25000</v>
      </c>
      <c r="I1693" s="124"/>
      <c r="J1693" s="124"/>
      <c r="K1693" s="124">
        <f t="shared" si="230"/>
        <v>25000</v>
      </c>
      <c r="L1693" s="124">
        <v>0</v>
      </c>
      <c r="M1693" s="124">
        <f t="shared" si="231"/>
        <v>0</v>
      </c>
      <c r="N1693" s="270"/>
      <c r="O1693" s="124">
        <f t="shared" si="232"/>
        <v>-25000</v>
      </c>
      <c r="P1693" s="270">
        <f t="shared" si="234"/>
        <v>-1</v>
      </c>
    </row>
    <row r="1694" spans="1:16">
      <c r="E1694" s="290"/>
      <c r="F1694" s="291"/>
      <c r="G1694" s="135"/>
      <c r="H1694" s="136"/>
      <c r="I1694" s="136"/>
      <c r="J1694" s="291"/>
      <c r="K1694" s="291">
        <f t="shared" si="230"/>
        <v>0</v>
      </c>
      <c r="L1694" s="291">
        <v>0</v>
      </c>
      <c r="M1694" s="291">
        <f t="shared" si="231"/>
        <v>0</v>
      </c>
      <c r="N1694" s="282"/>
      <c r="O1694" s="291">
        <f t="shared" si="232"/>
        <v>0</v>
      </c>
      <c r="P1694" s="282"/>
    </row>
    <row r="1695" spans="1:16">
      <c r="A1695" s="77" t="s">
        <v>678</v>
      </c>
      <c r="B1695" s="77" t="s">
        <v>176</v>
      </c>
      <c r="C1695" s="537" t="s">
        <v>1028</v>
      </c>
      <c r="D1695" s="537" t="s">
        <v>966</v>
      </c>
      <c r="E1695" s="273" t="s">
        <v>171</v>
      </c>
      <c r="F1695" s="131">
        <v>1905</v>
      </c>
      <c r="G1695" s="135"/>
      <c r="H1695" s="131">
        <v>1245</v>
      </c>
      <c r="I1695" s="131"/>
      <c r="J1695" s="131"/>
      <c r="K1695" s="131">
        <f t="shared" si="230"/>
        <v>3150</v>
      </c>
      <c r="L1695" s="131">
        <v>3150</v>
      </c>
      <c r="M1695" s="131">
        <f t="shared" si="231"/>
        <v>1245</v>
      </c>
      <c r="N1695" s="157">
        <f t="shared" si="233"/>
        <v>0.65354330708661412</v>
      </c>
      <c r="O1695" s="131">
        <f t="shared" si="232"/>
        <v>0</v>
      </c>
      <c r="P1695" s="157">
        <f t="shared" si="234"/>
        <v>0</v>
      </c>
    </row>
    <row r="1696" spans="1:16">
      <c r="E1696" s="147"/>
      <c r="F1696" s="136"/>
      <c r="G1696" s="135"/>
      <c r="H1696" s="136"/>
      <c r="I1696" s="136"/>
      <c r="J1696" s="136"/>
      <c r="K1696" s="136">
        <f t="shared" si="230"/>
        <v>0</v>
      </c>
      <c r="L1696" s="136">
        <v>0</v>
      </c>
      <c r="M1696" s="136">
        <f t="shared" si="231"/>
        <v>0</v>
      </c>
      <c r="N1696" s="157"/>
      <c r="O1696" s="136">
        <f t="shared" si="232"/>
        <v>0</v>
      </c>
      <c r="P1696" s="157"/>
    </row>
    <row r="1697" spans="1:16">
      <c r="A1697" s="77" t="s">
        <v>678</v>
      </c>
      <c r="B1697" s="77" t="s">
        <v>176</v>
      </c>
      <c r="C1697" s="537" t="s">
        <v>1028</v>
      </c>
      <c r="D1697" s="537" t="s">
        <v>966</v>
      </c>
      <c r="E1697" s="273" t="s">
        <v>154</v>
      </c>
      <c r="F1697" s="131">
        <v>75000</v>
      </c>
      <c r="G1697" s="135"/>
      <c r="H1697" s="131">
        <v>25860</v>
      </c>
      <c r="I1697" s="291">
        <f>10000+10000</f>
        <v>20000</v>
      </c>
      <c r="J1697" s="131"/>
      <c r="K1697" s="131">
        <f t="shared" si="230"/>
        <v>120860</v>
      </c>
      <c r="L1697" s="131">
        <v>100860</v>
      </c>
      <c r="M1697" s="131">
        <f t="shared" si="231"/>
        <v>25860</v>
      </c>
      <c r="N1697" s="157">
        <f t="shared" si="233"/>
        <v>0.3448</v>
      </c>
      <c r="O1697" s="131">
        <f t="shared" si="232"/>
        <v>-20000</v>
      </c>
      <c r="P1697" s="157">
        <f t="shared" si="234"/>
        <v>-0.16548072149594573</v>
      </c>
    </row>
    <row r="1698" spans="1:16">
      <c r="E1698" s="273"/>
      <c r="F1698" s="131"/>
      <c r="G1698" s="135"/>
      <c r="H1698" s="136"/>
      <c r="I1698" s="291"/>
      <c r="J1698" s="131"/>
      <c r="K1698" s="131">
        <f t="shared" si="230"/>
        <v>0</v>
      </c>
      <c r="L1698" s="131">
        <v>0</v>
      </c>
      <c r="M1698" s="131">
        <f t="shared" si="231"/>
        <v>0</v>
      </c>
      <c r="N1698" s="157"/>
      <c r="O1698" s="131">
        <f t="shared" si="232"/>
        <v>0</v>
      </c>
      <c r="P1698" s="157"/>
    </row>
    <row r="1699" spans="1:16">
      <c r="A1699" s="77" t="s">
        <v>678</v>
      </c>
      <c r="B1699" s="77" t="s">
        <v>176</v>
      </c>
      <c r="C1699" s="537" t="s">
        <v>1028</v>
      </c>
      <c r="D1699" s="537" t="s">
        <v>966</v>
      </c>
      <c r="E1699" s="290" t="s">
        <v>304</v>
      </c>
      <c r="F1699" s="291">
        <v>136124</v>
      </c>
      <c r="G1699" s="135"/>
      <c r="H1699" s="136"/>
      <c r="I1699" s="291">
        <v>-10000</v>
      </c>
      <c r="J1699" s="291">
        <v>4973</v>
      </c>
      <c r="K1699" s="291">
        <f t="shared" si="230"/>
        <v>131097</v>
      </c>
      <c r="L1699" s="291">
        <v>141321</v>
      </c>
      <c r="M1699" s="291">
        <f t="shared" si="231"/>
        <v>5197</v>
      </c>
      <c r="N1699" s="282">
        <f t="shared" si="233"/>
        <v>3.8178425553172107E-2</v>
      </c>
      <c r="O1699" s="291">
        <f t="shared" si="232"/>
        <v>10224</v>
      </c>
      <c r="P1699" s="282">
        <f t="shared" si="234"/>
        <v>7.7988054646559418E-2</v>
      </c>
    </row>
    <row r="1700" spans="1:16">
      <c r="E1700" s="294" t="s">
        <v>47</v>
      </c>
      <c r="F1700" s="125">
        <v>53196</v>
      </c>
      <c r="G1700" s="135"/>
      <c r="H1700" s="136"/>
      <c r="I1700" s="136"/>
      <c r="J1700" s="125">
        <v>3717</v>
      </c>
      <c r="K1700" s="125">
        <f t="shared" si="230"/>
        <v>56913</v>
      </c>
      <c r="L1700" s="125">
        <v>58579</v>
      </c>
      <c r="M1700" s="125">
        <f t="shared" si="231"/>
        <v>5383</v>
      </c>
      <c r="N1700" s="284">
        <f t="shared" si="233"/>
        <v>0.10119181893375442</v>
      </c>
      <c r="O1700" s="125">
        <f t="shared" si="232"/>
        <v>1666</v>
      </c>
      <c r="P1700" s="284">
        <f t="shared" si="234"/>
        <v>2.9272749635408431E-2</v>
      </c>
    </row>
    <row r="1701" spans="1:16">
      <c r="E1701" s="290"/>
      <c r="F1701" s="291"/>
      <c r="G1701" s="135"/>
      <c r="H1701" s="136"/>
      <c r="I1701" s="136"/>
      <c r="J1701" s="135"/>
      <c r="K1701" s="291">
        <f t="shared" si="230"/>
        <v>0</v>
      </c>
      <c r="L1701" s="291">
        <v>0</v>
      </c>
      <c r="M1701" s="291">
        <f t="shared" si="231"/>
        <v>0</v>
      </c>
      <c r="N1701" s="282"/>
      <c r="O1701" s="291">
        <f t="shared" si="232"/>
        <v>0</v>
      </c>
      <c r="P1701" s="282"/>
    </row>
    <row r="1702" spans="1:16">
      <c r="A1702" s="77" t="s">
        <v>692</v>
      </c>
      <c r="B1702" s="77" t="s">
        <v>176</v>
      </c>
      <c r="C1702" s="537"/>
      <c r="D1702" s="537"/>
      <c r="E1702" s="273" t="s">
        <v>172</v>
      </c>
      <c r="F1702" s="131">
        <v>10000</v>
      </c>
      <c r="G1702" s="135"/>
      <c r="H1702" s="136"/>
      <c r="I1702" s="136"/>
      <c r="J1702" s="135"/>
      <c r="K1702" s="131">
        <f t="shared" si="230"/>
        <v>10000</v>
      </c>
      <c r="L1702" s="131">
        <v>7000</v>
      </c>
      <c r="M1702" s="131">
        <f t="shared" si="231"/>
        <v>-3000</v>
      </c>
      <c r="N1702" s="157">
        <f t="shared" si="233"/>
        <v>-0.3</v>
      </c>
      <c r="O1702" s="131">
        <f t="shared" si="232"/>
        <v>-3000</v>
      </c>
      <c r="P1702" s="157">
        <f t="shared" si="234"/>
        <v>-0.3</v>
      </c>
    </row>
    <row r="1703" spans="1:16">
      <c r="E1703" s="273"/>
      <c r="F1703" s="131"/>
      <c r="G1703" s="135"/>
      <c r="H1703" s="136"/>
      <c r="I1703" s="136"/>
      <c r="J1703" s="135"/>
      <c r="K1703" s="131">
        <f t="shared" si="230"/>
        <v>0</v>
      </c>
      <c r="L1703" s="131">
        <v>0</v>
      </c>
      <c r="M1703" s="131">
        <f t="shared" si="231"/>
        <v>0</v>
      </c>
      <c r="N1703" s="157"/>
      <c r="O1703" s="131">
        <f t="shared" si="232"/>
        <v>0</v>
      </c>
      <c r="P1703" s="157"/>
    </row>
    <row r="1704" spans="1:16">
      <c r="E1704" s="273"/>
      <c r="F1704" s="131"/>
      <c r="G1704" s="135"/>
      <c r="H1704" s="136"/>
      <c r="I1704" s="136"/>
      <c r="J1704" s="135"/>
      <c r="K1704" s="131">
        <f t="shared" si="230"/>
        <v>0</v>
      </c>
      <c r="L1704" s="131">
        <v>0</v>
      </c>
      <c r="M1704" s="131">
        <f t="shared" si="231"/>
        <v>0</v>
      </c>
      <c r="N1704" s="157"/>
      <c r="O1704" s="131">
        <f t="shared" si="232"/>
        <v>0</v>
      </c>
      <c r="P1704" s="157"/>
    </row>
    <row r="1705" spans="1:16" ht="15.6">
      <c r="E1705" s="259" t="s">
        <v>177</v>
      </c>
      <c r="F1705" s="260"/>
      <c r="G1705" s="135"/>
      <c r="H1705" s="136"/>
      <c r="I1705" s="136"/>
      <c r="J1705" s="135"/>
      <c r="K1705" s="260">
        <f t="shared" si="230"/>
        <v>0</v>
      </c>
      <c r="L1705" s="260">
        <v>0</v>
      </c>
      <c r="M1705" s="260">
        <f t="shared" si="231"/>
        <v>0</v>
      </c>
      <c r="N1705" s="275"/>
      <c r="O1705" s="260">
        <f t="shared" si="232"/>
        <v>0</v>
      </c>
      <c r="P1705" s="275"/>
    </row>
    <row r="1706" spans="1:16">
      <c r="E1706" s="147"/>
      <c r="F1706" s="136"/>
      <c r="G1706" s="135"/>
      <c r="H1706" s="136"/>
      <c r="I1706" s="136"/>
      <c r="J1706" s="135"/>
      <c r="K1706" s="136">
        <f t="shared" si="230"/>
        <v>0</v>
      </c>
      <c r="L1706" s="136">
        <v>0</v>
      </c>
      <c r="M1706" s="136">
        <f t="shared" si="231"/>
        <v>0</v>
      </c>
      <c r="N1706" s="157"/>
      <c r="O1706" s="136">
        <f t="shared" si="232"/>
        <v>0</v>
      </c>
      <c r="P1706" s="157"/>
    </row>
    <row r="1707" spans="1:16">
      <c r="E1707" s="261" t="s">
        <v>98</v>
      </c>
      <c r="F1707" s="127">
        <f>F1714+F1718+F1724+F1734+F1737</f>
        <v>2301932</v>
      </c>
      <c r="G1707" s="135"/>
      <c r="H1707" s="127">
        <f>H1714+H1718+H1724+H1734+H1737</f>
        <v>113819</v>
      </c>
      <c r="I1707" s="127">
        <f>I1714+I1718+I1724+I1734+I1737</f>
        <v>-536</v>
      </c>
      <c r="J1707" s="127">
        <f>J1714+J1718+J1724+J1734+J1737</f>
        <v>125496</v>
      </c>
      <c r="K1707" s="127">
        <f t="shared" si="230"/>
        <v>2540711</v>
      </c>
      <c r="L1707" s="127">
        <f>L1714+L1718+L1724+L1734+L1737</f>
        <v>2506643</v>
      </c>
      <c r="M1707" s="127">
        <f t="shared" si="231"/>
        <v>204711</v>
      </c>
      <c r="N1707" s="160">
        <f t="shared" si="233"/>
        <v>8.893008134036974E-2</v>
      </c>
      <c r="O1707" s="127">
        <f t="shared" si="232"/>
        <v>-34068</v>
      </c>
      <c r="P1707" s="160">
        <f t="shared" si="234"/>
        <v>-1.3408845004410183E-2</v>
      </c>
    </row>
    <row r="1708" spans="1:16">
      <c r="E1708" s="262" t="s">
        <v>359</v>
      </c>
      <c r="F1708" s="128">
        <v>191480</v>
      </c>
      <c r="G1708" s="135"/>
      <c r="H1708" s="128"/>
      <c r="I1708" s="128">
        <v>21000</v>
      </c>
      <c r="J1708" s="128"/>
      <c r="K1708" s="128">
        <f t="shared" si="230"/>
        <v>212480</v>
      </c>
      <c r="L1708" s="128">
        <v>191480</v>
      </c>
      <c r="M1708" s="128">
        <f t="shared" si="231"/>
        <v>0</v>
      </c>
      <c r="N1708" s="91">
        <f t="shared" si="233"/>
        <v>0</v>
      </c>
      <c r="O1708" s="128">
        <f t="shared" si="232"/>
        <v>-21000</v>
      </c>
      <c r="P1708" s="91">
        <f t="shared" si="234"/>
        <v>-9.8832831325301199E-2</v>
      </c>
    </row>
    <row r="1709" spans="1:16">
      <c r="E1709" s="261" t="s">
        <v>44</v>
      </c>
      <c r="F1709" s="127">
        <f>F1710+F1711</f>
        <v>2301932</v>
      </c>
      <c r="G1709" s="135"/>
      <c r="H1709" s="127">
        <f>H1710+H1711</f>
        <v>113819</v>
      </c>
      <c r="I1709" s="127">
        <f>I1710+I1711</f>
        <v>-536</v>
      </c>
      <c r="J1709" s="127">
        <f>J1710+J1711</f>
        <v>125496</v>
      </c>
      <c r="K1709" s="127">
        <f t="shared" si="230"/>
        <v>2540711</v>
      </c>
      <c r="L1709" s="127">
        <f>L1710+L1711</f>
        <v>2506643</v>
      </c>
      <c r="M1709" s="127">
        <f t="shared" si="231"/>
        <v>204711</v>
      </c>
      <c r="N1709" s="160">
        <f t="shared" si="233"/>
        <v>8.893008134036974E-2</v>
      </c>
      <c r="O1709" s="127">
        <f t="shared" si="232"/>
        <v>-34068</v>
      </c>
      <c r="P1709" s="160">
        <f t="shared" si="234"/>
        <v>-1.3408845004410183E-2</v>
      </c>
    </row>
    <row r="1710" spans="1:16">
      <c r="E1710" s="262" t="s">
        <v>45</v>
      </c>
      <c r="F1710" s="128">
        <v>268940</v>
      </c>
      <c r="G1710" s="135"/>
      <c r="H1710" s="128">
        <v>8800</v>
      </c>
      <c r="I1710" s="128">
        <v>-12556</v>
      </c>
      <c r="J1710" s="128"/>
      <c r="K1710" s="128">
        <f t="shared" si="230"/>
        <v>265184</v>
      </c>
      <c r="L1710" s="128">
        <v>297580</v>
      </c>
      <c r="M1710" s="128">
        <f t="shared" si="231"/>
        <v>28640</v>
      </c>
      <c r="N1710" s="91">
        <f t="shared" si="233"/>
        <v>0.10649215438387745</v>
      </c>
      <c r="O1710" s="128">
        <f t="shared" si="232"/>
        <v>32396</v>
      </c>
      <c r="P1710" s="91">
        <f t="shared" si="234"/>
        <v>0.12216423313623748</v>
      </c>
    </row>
    <row r="1711" spans="1:16">
      <c r="E1711" s="263" t="s">
        <v>46</v>
      </c>
      <c r="F1711" s="128">
        <f>F1707-F1710</f>
        <v>2032992</v>
      </c>
      <c r="G1711" s="135"/>
      <c r="H1711" s="128">
        <f>H1707-H1710</f>
        <v>105019</v>
      </c>
      <c r="I1711" s="128">
        <f>I1707-I1710</f>
        <v>12020</v>
      </c>
      <c r="J1711" s="128">
        <f>J1707-J1710</f>
        <v>125496</v>
      </c>
      <c r="K1711" s="128">
        <f t="shared" si="230"/>
        <v>2275527</v>
      </c>
      <c r="L1711" s="128">
        <f>L1707-L1710</f>
        <v>2209063</v>
      </c>
      <c r="M1711" s="128">
        <f t="shared" si="231"/>
        <v>176071</v>
      </c>
      <c r="N1711" s="91">
        <f t="shared" si="233"/>
        <v>8.6606833671750802E-2</v>
      </c>
      <c r="O1711" s="128">
        <f t="shared" si="232"/>
        <v>-66464</v>
      </c>
      <c r="P1711" s="91">
        <f t="shared" si="234"/>
        <v>-2.9208179028418473E-2</v>
      </c>
    </row>
    <row r="1712" spans="1:16" s="10" customFormat="1">
      <c r="A1712" s="135"/>
      <c r="B1712" s="135"/>
      <c r="C1712" s="482"/>
      <c r="D1712" s="482"/>
      <c r="E1712" s="264" t="s">
        <v>718</v>
      </c>
      <c r="F1712" s="129">
        <f>F1716+F1722+F1728+F1732+F1740</f>
        <v>911240</v>
      </c>
      <c r="G1712" s="129"/>
      <c r="H1712" s="129">
        <f>H1716+H1722+H1728+H1732+H1740+H1753</f>
        <v>20903</v>
      </c>
      <c r="I1712" s="129">
        <f>I1716+I1722+I1728+I1732+I1740+I1753</f>
        <v>-13488</v>
      </c>
      <c r="J1712" s="129">
        <f>J1716+J1722+J1728+J1732+J1740</f>
        <v>93793</v>
      </c>
      <c r="K1712" s="129">
        <f t="shared" si="230"/>
        <v>1012448</v>
      </c>
      <c r="L1712" s="129">
        <f>L1716+L1722+L1728+L1732+L1740</f>
        <v>1025631</v>
      </c>
      <c r="M1712" s="129">
        <f t="shared" si="231"/>
        <v>114391</v>
      </c>
      <c r="N1712" s="265">
        <f t="shared" si="233"/>
        <v>0.12553333918616391</v>
      </c>
      <c r="O1712" s="129">
        <f t="shared" si="232"/>
        <v>13183</v>
      </c>
      <c r="P1712" s="265">
        <f t="shared" si="234"/>
        <v>1.3020915642087297E-2</v>
      </c>
    </row>
    <row r="1713" spans="1:16">
      <c r="E1713" s="263"/>
      <c r="F1713" s="128"/>
      <c r="G1713" s="135"/>
      <c r="H1713" s="136"/>
      <c r="I1713" s="136"/>
      <c r="J1713" s="128"/>
      <c r="K1713" s="128">
        <f t="shared" si="230"/>
        <v>0</v>
      </c>
      <c r="L1713" s="128">
        <v>0</v>
      </c>
      <c r="M1713" s="128">
        <f t="shared" si="231"/>
        <v>0</v>
      </c>
      <c r="N1713" s="91"/>
      <c r="O1713" s="128">
        <f t="shared" si="232"/>
        <v>0</v>
      </c>
      <c r="P1713" s="91"/>
    </row>
    <row r="1714" spans="1:16" ht="13.8">
      <c r="A1714" s="77" t="s">
        <v>672</v>
      </c>
      <c r="B1714" s="77" t="s">
        <v>177</v>
      </c>
      <c r="E1714" s="443" t="s">
        <v>103</v>
      </c>
      <c r="F1714" s="444">
        <f>F1715</f>
        <v>217020</v>
      </c>
      <c r="G1714" s="135"/>
      <c r="H1714" s="444">
        <f>H1715</f>
        <v>-9280</v>
      </c>
      <c r="I1714" s="444"/>
      <c r="J1714" s="444">
        <f>J1715</f>
        <v>9690</v>
      </c>
      <c r="K1714" s="444">
        <f t="shared" si="230"/>
        <v>217430</v>
      </c>
      <c r="L1714" s="444">
        <f>L1715</f>
        <v>227324</v>
      </c>
      <c r="M1714" s="444">
        <f t="shared" si="231"/>
        <v>10304</v>
      </c>
      <c r="N1714" s="313">
        <f t="shared" si="233"/>
        <v>4.7479494977421433E-2</v>
      </c>
      <c r="O1714" s="444">
        <f t="shared" si="232"/>
        <v>9894</v>
      </c>
      <c r="P1714" s="313">
        <f t="shared" si="234"/>
        <v>4.5504300234558245E-2</v>
      </c>
    </row>
    <row r="1715" spans="1:16">
      <c r="C1715" s="537"/>
      <c r="D1715" s="537"/>
      <c r="E1715" s="339" t="s">
        <v>575</v>
      </c>
      <c r="F1715" s="123">
        <v>217020</v>
      </c>
      <c r="G1715" s="135"/>
      <c r="H1715" s="123">
        <v>-9280</v>
      </c>
      <c r="I1715" s="123"/>
      <c r="J1715" s="123">
        <v>9690</v>
      </c>
      <c r="K1715" s="123">
        <f t="shared" si="230"/>
        <v>217430</v>
      </c>
      <c r="L1715" s="123">
        <v>227324</v>
      </c>
      <c r="M1715" s="123">
        <f t="shared" si="231"/>
        <v>10304</v>
      </c>
      <c r="N1715" s="160">
        <f t="shared" si="233"/>
        <v>4.7479494977421433E-2</v>
      </c>
      <c r="O1715" s="123">
        <f t="shared" si="232"/>
        <v>9894</v>
      </c>
      <c r="P1715" s="160">
        <f t="shared" si="234"/>
        <v>4.5504300234558245E-2</v>
      </c>
    </row>
    <row r="1716" spans="1:16">
      <c r="E1716" s="132" t="s">
        <v>47</v>
      </c>
      <c r="F1716" s="124">
        <v>112718</v>
      </c>
      <c r="G1716" s="135"/>
      <c r="H1716" s="124">
        <v>-6936</v>
      </c>
      <c r="I1716" s="124"/>
      <c r="J1716" s="124">
        <v>7242</v>
      </c>
      <c r="K1716" s="124">
        <f t="shared" si="230"/>
        <v>113024</v>
      </c>
      <c r="L1716" s="124">
        <v>113244</v>
      </c>
      <c r="M1716" s="124">
        <f t="shared" si="231"/>
        <v>526</v>
      </c>
      <c r="N1716" s="270">
        <f t="shared" si="233"/>
        <v>4.6665128905764826E-3</v>
      </c>
      <c r="O1716" s="124">
        <f t="shared" si="232"/>
        <v>220</v>
      </c>
      <c r="P1716" s="270">
        <f t="shared" si="234"/>
        <v>1.9464892412231032E-3</v>
      </c>
    </row>
    <row r="1717" spans="1:16">
      <c r="E1717" s="367"/>
      <c r="F1717" s="353"/>
      <c r="G1717" s="135"/>
      <c r="H1717" s="353"/>
      <c r="I1717" s="353"/>
      <c r="J1717" s="135"/>
      <c r="K1717" s="353">
        <f t="shared" si="230"/>
        <v>0</v>
      </c>
      <c r="L1717" s="353">
        <v>0</v>
      </c>
      <c r="M1717" s="353">
        <f t="shared" si="231"/>
        <v>0</v>
      </c>
      <c r="N1717" s="287"/>
      <c r="O1717" s="353">
        <f t="shared" si="232"/>
        <v>0</v>
      </c>
      <c r="P1717" s="287"/>
    </row>
    <row r="1718" spans="1:16" ht="13.8">
      <c r="A1718" s="77" t="s">
        <v>674</v>
      </c>
      <c r="B1718" s="77" t="s">
        <v>177</v>
      </c>
      <c r="E1718" s="422" t="s">
        <v>105</v>
      </c>
      <c r="F1718" s="423">
        <f>F1719</f>
        <v>129955</v>
      </c>
      <c r="G1718" s="135"/>
      <c r="H1718" s="423">
        <f>H1719</f>
        <v>9553</v>
      </c>
      <c r="I1718" s="423"/>
      <c r="J1718" s="423">
        <f>J1719</f>
        <v>8557</v>
      </c>
      <c r="K1718" s="423">
        <f t="shared" si="230"/>
        <v>148065</v>
      </c>
      <c r="L1718" s="423">
        <f>L1719</f>
        <v>150087</v>
      </c>
      <c r="M1718" s="423">
        <f t="shared" si="231"/>
        <v>20132</v>
      </c>
      <c r="N1718" s="424">
        <f t="shared" si="233"/>
        <v>0.15491516294101804</v>
      </c>
      <c r="O1718" s="423">
        <f t="shared" si="232"/>
        <v>2022</v>
      </c>
      <c r="P1718" s="424">
        <f t="shared" si="234"/>
        <v>1.3656164522338162E-2</v>
      </c>
    </row>
    <row r="1719" spans="1:16">
      <c r="C1719" s="537"/>
      <c r="D1719" s="537"/>
      <c r="E1719" s="394" t="s">
        <v>106</v>
      </c>
      <c r="F1719" s="395">
        <f>F1721</f>
        <v>129955</v>
      </c>
      <c r="G1719" s="135"/>
      <c r="H1719" s="395">
        <f>H1721</f>
        <v>9553</v>
      </c>
      <c r="I1719" s="395"/>
      <c r="J1719" s="395">
        <f>J1721</f>
        <v>8557</v>
      </c>
      <c r="K1719" s="395">
        <f t="shared" si="230"/>
        <v>148065</v>
      </c>
      <c r="L1719" s="395">
        <f>L1721</f>
        <v>150087</v>
      </c>
      <c r="M1719" s="395">
        <f t="shared" si="231"/>
        <v>20132</v>
      </c>
      <c r="N1719" s="370">
        <f t="shared" si="233"/>
        <v>0.15491516294101804</v>
      </c>
      <c r="O1719" s="395">
        <f t="shared" si="232"/>
        <v>2022</v>
      </c>
      <c r="P1719" s="370">
        <f t="shared" si="234"/>
        <v>1.3656164522338162E-2</v>
      </c>
    </row>
    <row r="1720" spans="1:16">
      <c r="E1720" s="425" t="s">
        <v>101</v>
      </c>
      <c r="F1720" s="395"/>
      <c r="G1720" s="135"/>
      <c r="H1720" s="136"/>
      <c r="I1720" s="136"/>
      <c r="J1720" s="135"/>
      <c r="K1720" s="395">
        <f t="shared" si="230"/>
        <v>0</v>
      </c>
      <c r="L1720" s="395">
        <v>0</v>
      </c>
      <c r="M1720" s="395">
        <f t="shared" si="231"/>
        <v>0</v>
      </c>
      <c r="N1720" s="370"/>
      <c r="O1720" s="395">
        <f t="shared" si="232"/>
        <v>0</v>
      </c>
      <c r="P1720" s="370"/>
    </row>
    <row r="1721" spans="1:16">
      <c r="E1721" s="37" t="s">
        <v>576</v>
      </c>
      <c r="F1721" s="47">
        <v>129955</v>
      </c>
      <c r="G1721" s="135"/>
      <c r="H1721" s="47">
        <v>9553</v>
      </c>
      <c r="I1721" s="47"/>
      <c r="J1721" s="47">
        <v>8557</v>
      </c>
      <c r="K1721" s="47">
        <f t="shared" si="230"/>
        <v>148065</v>
      </c>
      <c r="L1721" s="47">
        <v>150087</v>
      </c>
      <c r="M1721" s="47">
        <f t="shared" si="231"/>
        <v>20132</v>
      </c>
      <c r="N1721" s="96">
        <f t="shared" si="233"/>
        <v>0.15491516294101804</v>
      </c>
      <c r="O1721" s="47">
        <f t="shared" si="232"/>
        <v>2022</v>
      </c>
      <c r="P1721" s="96">
        <f t="shared" si="234"/>
        <v>1.3656164522338162E-2</v>
      </c>
    </row>
    <row r="1722" spans="1:16">
      <c r="E1722" s="446" t="s">
        <v>47</v>
      </c>
      <c r="F1722" s="125">
        <v>72571</v>
      </c>
      <c r="G1722" s="135"/>
      <c r="H1722" s="125">
        <v>7140</v>
      </c>
      <c r="I1722" s="125"/>
      <c r="J1722" s="125">
        <v>6395</v>
      </c>
      <c r="K1722" s="125">
        <f t="shared" si="230"/>
        <v>86106</v>
      </c>
      <c r="L1722" s="125">
        <v>88177</v>
      </c>
      <c r="M1722" s="125">
        <f t="shared" si="231"/>
        <v>15606</v>
      </c>
      <c r="N1722" s="284">
        <f t="shared" si="233"/>
        <v>0.21504457703490376</v>
      </c>
      <c r="O1722" s="125">
        <f t="shared" si="232"/>
        <v>2071</v>
      </c>
      <c r="P1722" s="284">
        <f t="shared" si="234"/>
        <v>2.4051750168397092E-2</v>
      </c>
    </row>
    <row r="1723" spans="1:16">
      <c r="E1723" s="400"/>
      <c r="F1723" s="401"/>
      <c r="G1723" s="135"/>
      <c r="H1723" s="136"/>
      <c r="I1723" s="136"/>
      <c r="J1723" s="135"/>
      <c r="K1723" s="401">
        <f t="shared" si="230"/>
        <v>0</v>
      </c>
      <c r="L1723" s="401">
        <v>0</v>
      </c>
      <c r="M1723" s="401">
        <f t="shared" si="231"/>
        <v>0</v>
      </c>
      <c r="N1723" s="322"/>
      <c r="O1723" s="401">
        <f t="shared" si="232"/>
        <v>0</v>
      </c>
      <c r="P1723" s="322"/>
    </row>
    <row r="1724" spans="1:16" ht="13.8">
      <c r="A1724" s="77" t="s">
        <v>675</v>
      </c>
      <c r="B1724" s="77" t="s">
        <v>177</v>
      </c>
      <c r="E1724" s="443" t="s">
        <v>108</v>
      </c>
      <c r="F1724" s="444">
        <f>F1725</f>
        <v>211773</v>
      </c>
      <c r="G1724" s="135"/>
      <c r="H1724" s="444">
        <f>H1725</f>
        <v>7188</v>
      </c>
      <c r="I1724" s="444"/>
      <c r="J1724" s="444">
        <f>J1725</f>
        <v>12474</v>
      </c>
      <c r="K1724" s="444">
        <f t="shared" si="230"/>
        <v>231435</v>
      </c>
      <c r="L1724" s="444">
        <f>L1725</f>
        <v>225293</v>
      </c>
      <c r="M1724" s="444">
        <f t="shared" si="231"/>
        <v>13520</v>
      </c>
      <c r="N1724" s="313">
        <f t="shared" si="233"/>
        <v>6.3841943968305684E-2</v>
      </c>
      <c r="O1724" s="444">
        <f t="shared" si="232"/>
        <v>-6142</v>
      </c>
      <c r="P1724" s="313">
        <f t="shared" si="234"/>
        <v>-2.6538768984812149E-2</v>
      </c>
    </row>
    <row r="1725" spans="1:16" ht="26.4">
      <c r="C1725" s="537"/>
      <c r="D1725" s="537"/>
      <c r="E1725" s="449" t="s">
        <v>167</v>
      </c>
      <c r="F1725" s="419">
        <f>F1727+F1731</f>
        <v>211773</v>
      </c>
      <c r="G1725" s="135"/>
      <c r="H1725" s="419">
        <f>H1727+H1731</f>
        <v>7188</v>
      </c>
      <c r="I1725" s="419"/>
      <c r="J1725" s="419">
        <f>J1727+J1731</f>
        <v>12474</v>
      </c>
      <c r="K1725" s="419">
        <f t="shared" si="230"/>
        <v>231435</v>
      </c>
      <c r="L1725" s="419">
        <f>L1727+L1731</f>
        <v>225293</v>
      </c>
      <c r="M1725" s="419">
        <f t="shared" si="231"/>
        <v>13520</v>
      </c>
      <c r="N1725" s="370">
        <f t="shared" si="233"/>
        <v>6.3841943968305684E-2</v>
      </c>
      <c r="O1725" s="419">
        <f t="shared" si="232"/>
        <v>-6142</v>
      </c>
      <c r="P1725" s="370">
        <f t="shared" si="234"/>
        <v>-2.6538768984812149E-2</v>
      </c>
    </row>
    <row r="1726" spans="1:16">
      <c r="E1726" s="450" t="s">
        <v>101</v>
      </c>
      <c r="F1726" s="127"/>
      <c r="G1726" s="135"/>
      <c r="H1726" s="127"/>
      <c r="I1726" s="127"/>
      <c r="J1726" s="135"/>
      <c r="K1726" s="127">
        <f t="shared" si="230"/>
        <v>0</v>
      </c>
      <c r="L1726" s="127">
        <v>0</v>
      </c>
      <c r="M1726" s="127">
        <f t="shared" si="231"/>
        <v>0</v>
      </c>
      <c r="N1726" s="160"/>
      <c r="O1726" s="127">
        <f t="shared" si="232"/>
        <v>0</v>
      </c>
      <c r="P1726" s="160"/>
    </row>
    <row r="1727" spans="1:16">
      <c r="E1727" s="336" t="s">
        <v>577</v>
      </c>
      <c r="F1727" s="268">
        <v>143741</v>
      </c>
      <c r="G1727" s="135"/>
      <c r="H1727" s="268">
        <v>7188</v>
      </c>
      <c r="I1727" s="268"/>
      <c r="J1727" s="268">
        <v>7015</v>
      </c>
      <c r="K1727" s="268">
        <f t="shared" si="230"/>
        <v>157944</v>
      </c>
      <c r="L1727" s="268">
        <v>151650</v>
      </c>
      <c r="M1727" s="268">
        <f t="shared" si="231"/>
        <v>7909</v>
      </c>
      <c r="N1727" s="157">
        <f t="shared" si="233"/>
        <v>5.5022575326455221E-2</v>
      </c>
      <c r="O1727" s="268">
        <f t="shared" si="232"/>
        <v>-6294</v>
      </c>
      <c r="P1727" s="157">
        <f t="shared" si="234"/>
        <v>-3.9849566935116244E-2</v>
      </c>
    </row>
    <row r="1728" spans="1:16">
      <c r="E1728" s="323" t="s">
        <v>47</v>
      </c>
      <c r="F1728" s="124">
        <v>81592</v>
      </c>
      <c r="G1728" s="135"/>
      <c r="H1728" s="124">
        <v>4550</v>
      </c>
      <c r="I1728" s="124"/>
      <c r="J1728" s="124">
        <v>5243</v>
      </c>
      <c r="K1728" s="124">
        <f t="shared" si="230"/>
        <v>91385</v>
      </c>
      <c r="L1728" s="124">
        <v>87279</v>
      </c>
      <c r="M1728" s="124">
        <f t="shared" si="231"/>
        <v>5687</v>
      </c>
      <c r="N1728" s="270">
        <f t="shared" si="233"/>
        <v>6.9700460829493091E-2</v>
      </c>
      <c r="O1728" s="124">
        <f t="shared" si="232"/>
        <v>-4106</v>
      </c>
      <c r="P1728" s="270">
        <f t="shared" si="234"/>
        <v>-4.4930787328336164E-2</v>
      </c>
    </row>
    <row r="1729" spans="1:16">
      <c r="E1729" s="461"/>
      <c r="F1729" s="462"/>
      <c r="G1729" s="135"/>
      <c r="H1729" s="136"/>
      <c r="I1729" s="136"/>
      <c r="J1729" s="462"/>
      <c r="K1729" s="462">
        <f t="shared" si="230"/>
        <v>0</v>
      </c>
      <c r="L1729" s="462">
        <v>0</v>
      </c>
      <c r="M1729" s="462">
        <f t="shared" si="231"/>
        <v>0</v>
      </c>
      <c r="N1729" s="342"/>
      <c r="O1729" s="462">
        <f t="shared" si="232"/>
        <v>0</v>
      </c>
      <c r="P1729" s="342"/>
    </row>
    <row r="1730" spans="1:16">
      <c r="E1730" s="450" t="s">
        <v>101</v>
      </c>
      <c r="F1730" s="127"/>
      <c r="G1730" s="135"/>
      <c r="H1730" s="136"/>
      <c r="I1730" s="136"/>
      <c r="J1730" s="127"/>
      <c r="K1730" s="127">
        <f t="shared" si="230"/>
        <v>0</v>
      </c>
      <c r="L1730" s="127">
        <v>0</v>
      </c>
      <c r="M1730" s="127">
        <f t="shared" si="231"/>
        <v>0</v>
      </c>
      <c r="N1730" s="160"/>
      <c r="O1730" s="127">
        <f t="shared" si="232"/>
        <v>0</v>
      </c>
      <c r="P1730" s="160"/>
    </row>
    <row r="1731" spans="1:16">
      <c r="E1731" s="336" t="s">
        <v>339</v>
      </c>
      <c r="F1731" s="268">
        <v>68032</v>
      </c>
      <c r="G1731" s="135"/>
      <c r="H1731" s="136"/>
      <c r="I1731" s="136"/>
      <c r="J1731" s="268">
        <v>5459</v>
      </c>
      <c r="K1731" s="268">
        <f t="shared" si="230"/>
        <v>73491</v>
      </c>
      <c r="L1731" s="268">
        <v>73643</v>
      </c>
      <c r="M1731" s="268">
        <f t="shared" si="231"/>
        <v>5611</v>
      </c>
      <c r="N1731" s="157">
        <f t="shared" si="233"/>
        <v>8.2475893697083719E-2</v>
      </c>
      <c r="O1731" s="268">
        <f t="shared" si="232"/>
        <v>152</v>
      </c>
      <c r="P1731" s="157">
        <f t="shared" si="234"/>
        <v>2.0682804697173805E-3</v>
      </c>
    </row>
    <row r="1732" spans="1:16">
      <c r="E1732" s="323" t="s">
        <v>47</v>
      </c>
      <c r="F1732" s="124">
        <v>49992</v>
      </c>
      <c r="G1732" s="135"/>
      <c r="H1732" s="136"/>
      <c r="I1732" s="136"/>
      <c r="J1732" s="124">
        <v>4080</v>
      </c>
      <c r="K1732" s="124">
        <f t="shared" si="230"/>
        <v>54072</v>
      </c>
      <c r="L1732" s="124">
        <v>54858</v>
      </c>
      <c r="M1732" s="124">
        <f t="shared" si="231"/>
        <v>4866</v>
      </c>
      <c r="N1732" s="270">
        <f t="shared" si="233"/>
        <v>9.7335573691790689E-2</v>
      </c>
      <c r="O1732" s="124">
        <f t="shared" si="232"/>
        <v>786</v>
      </c>
      <c r="P1732" s="270">
        <f t="shared" si="234"/>
        <v>1.4536173990235242E-2</v>
      </c>
    </row>
    <row r="1733" spans="1:16">
      <c r="E1733" s="461"/>
      <c r="F1733" s="462"/>
      <c r="G1733" s="135"/>
      <c r="H1733" s="136"/>
      <c r="I1733" s="136"/>
      <c r="J1733" s="135"/>
      <c r="K1733" s="462">
        <f t="shared" si="230"/>
        <v>0</v>
      </c>
      <c r="L1733" s="462">
        <v>0</v>
      </c>
      <c r="M1733" s="462">
        <f t="shared" si="231"/>
        <v>0</v>
      </c>
      <c r="N1733" s="342"/>
      <c r="O1733" s="462">
        <f t="shared" si="232"/>
        <v>0</v>
      </c>
      <c r="P1733" s="342"/>
    </row>
    <row r="1734" spans="1:16" ht="13.8">
      <c r="A1734" s="77" t="s">
        <v>679</v>
      </c>
      <c r="B1734" s="77" t="s">
        <v>177</v>
      </c>
      <c r="E1734" s="443" t="s">
        <v>163</v>
      </c>
      <c r="F1734" s="444">
        <f>F1735</f>
        <v>439400</v>
      </c>
      <c r="G1734" s="135"/>
      <c r="H1734" s="136"/>
      <c r="I1734" s="136"/>
      <c r="J1734" s="135"/>
      <c r="K1734" s="444">
        <f t="shared" si="230"/>
        <v>439400</v>
      </c>
      <c r="L1734" s="444">
        <f>L1735</f>
        <v>395500</v>
      </c>
      <c r="M1734" s="444">
        <f t="shared" si="231"/>
        <v>-43900</v>
      </c>
      <c r="N1734" s="313">
        <f t="shared" si="233"/>
        <v>-9.9908966772872101E-2</v>
      </c>
      <c r="O1734" s="444">
        <f t="shared" si="232"/>
        <v>-43900</v>
      </c>
      <c r="P1734" s="313">
        <f t="shared" si="234"/>
        <v>-9.9908966772872101E-2</v>
      </c>
    </row>
    <row r="1735" spans="1:16">
      <c r="C1735" s="537" t="s">
        <v>1021</v>
      </c>
      <c r="D1735" s="537" t="s">
        <v>949</v>
      </c>
      <c r="E1735" s="339" t="s">
        <v>164</v>
      </c>
      <c r="F1735" s="123">
        <v>439400</v>
      </c>
      <c r="G1735" s="135"/>
      <c r="H1735" s="136"/>
      <c r="I1735" s="136"/>
      <c r="J1735" s="135"/>
      <c r="K1735" s="123">
        <f t="shared" si="230"/>
        <v>439400</v>
      </c>
      <c r="L1735" s="123">
        <v>395500</v>
      </c>
      <c r="M1735" s="123">
        <f t="shared" si="231"/>
        <v>-43900</v>
      </c>
      <c r="N1735" s="160">
        <f t="shared" si="233"/>
        <v>-9.9908966772872101E-2</v>
      </c>
      <c r="O1735" s="123">
        <f t="shared" si="232"/>
        <v>-43900</v>
      </c>
      <c r="P1735" s="160">
        <f t="shared" si="234"/>
        <v>-9.9908966772872101E-2</v>
      </c>
    </row>
    <row r="1736" spans="1:16">
      <c r="E1736" s="400"/>
      <c r="F1736" s="401"/>
      <c r="G1736" s="135"/>
      <c r="H1736" s="136"/>
      <c r="I1736" s="136"/>
      <c r="J1736" s="135"/>
      <c r="K1736" s="401">
        <f t="shared" ref="K1736:K1799" si="236">F1736+G1736+H1736+J1736+I1736</f>
        <v>0</v>
      </c>
      <c r="L1736" s="401">
        <v>0</v>
      </c>
      <c r="M1736" s="401">
        <f t="shared" ref="M1736:M1799" si="237">L1736-F1736</f>
        <v>0</v>
      </c>
      <c r="N1736" s="322"/>
      <c r="O1736" s="401">
        <f t="shared" ref="O1736:O1799" si="238">L1736-K1736</f>
        <v>0</v>
      </c>
      <c r="P1736" s="322"/>
    </row>
    <row r="1737" spans="1:16">
      <c r="E1737" s="426" t="s">
        <v>102</v>
      </c>
      <c r="F1737" s="427">
        <f>F1739+F1742+F1746+F1748+F1750+F1755+F1757+F1744</f>
        <v>1303784</v>
      </c>
      <c r="G1737" s="135"/>
      <c r="H1737" s="427">
        <f>H1739+H1742+H1746+H1748+H1750+H1755+H1757+H1744+H1752</f>
        <v>106358</v>
      </c>
      <c r="I1737" s="427">
        <f>I1739+I1742+I1746+I1748+I1750+I1755+I1757+I1744+I1752</f>
        <v>-536</v>
      </c>
      <c r="J1737" s="427">
        <f>J1739+J1742+J1746+J1748+J1750+J1755+J1757+J1744+J1752</f>
        <v>94775</v>
      </c>
      <c r="K1737" s="427">
        <f t="shared" si="236"/>
        <v>1504381</v>
      </c>
      <c r="L1737" s="427">
        <f>L1739+L1742+L1746+L1748+L1750+L1755+L1757+L1744+L1752</f>
        <v>1508439</v>
      </c>
      <c r="M1737" s="427">
        <f t="shared" si="237"/>
        <v>204655</v>
      </c>
      <c r="N1737" s="370">
        <f t="shared" ref="N1737:N1799" si="239">M1737/F1737</f>
        <v>0.15697001957379444</v>
      </c>
      <c r="O1737" s="427">
        <f t="shared" si="238"/>
        <v>4058</v>
      </c>
      <c r="P1737" s="370">
        <f t="shared" ref="P1737:P1799" si="240">O1737/K1737</f>
        <v>2.6974549665277612E-3</v>
      </c>
    </row>
    <row r="1738" spans="1:16">
      <c r="E1738" s="426"/>
      <c r="F1738" s="427"/>
      <c r="G1738" s="135"/>
      <c r="H1738" s="136"/>
      <c r="I1738" s="136"/>
      <c r="J1738" s="135"/>
      <c r="K1738" s="427">
        <f t="shared" si="236"/>
        <v>0</v>
      </c>
      <c r="L1738" s="427">
        <v>0</v>
      </c>
      <c r="M1738" s="427">
        <f t="shared" si="237"/>
        <v>0</v>
      </c>
      <c r="N1738" s="370"/>
      <c r="O1738" s="427">
        <f t="shared" si="238"/>
        <v>0</v>
      </c>
      <c r="P1738" s="370"/>
    </row>
    <row r="1739" spans="1:16">
      <c r="A1739" s="77" t="s">
        <v>670</v>
      </c>
      <c r="B1739" s="77" t="s">
        <v>177</v>
      </c>
      <c r="C1739" s="537"/>
      <c r="D1739" s="537"/>
      <c r="E1739" s="267" t="s">
        <v>168</v>
      </c>
      <c r="F1739" s="268">
        <v>959119</v>
      </c>
      <c r="G1739" s="135"/>
      <c r="H1739" s="268">
        <v>20988</v>
      </c>
      <c r="I1739" s="268">
        <v>-10536</v>
      </c>
      <c r="J1739" s="268">
        <v>94775</v>
      </c>
      <c r="K1739" s="268">
        <f t="shared" si="236"/>
        <v>1064346</v>
      </c>
      <c r="L1739" s="268">
        <v>1071079</v>
      </c>
      <c r="M1739" s="268">
        <f t="shared" si="237"/>
        <v>111960</v>
      </c>
      <c r="N1739" s="157">
        <f t="shared" si="239"/>
        <v>0.11673212604483907</v>
      </c>
      <c r="O1739" s="268">
        <f t="shared" si="238"/>
        <v>6733</v>
      </c>
      <c r="P1739" s="157">
        <f t="shared" si="240"/>
        <v>6.3259503958299273E-3</v>
      </c>
    </row>
    <row r="1740" spans="1:16">
      <c r="E1740" s="130" t="s">
        <v>47</v>
      </c>
      <c r="F1740" s="124">
        <v>594367</v>
      </c>
      <c r="G1740" s="135"/>
      <c r="H1740" s="124">
        <v>11949</v>
      </c>
      <c r="I1740" s="124">
        <v>-13488</v>
      </c>
      <c r="J1740" s="124">
        <v>70833</v>
      </c>
      <c r="K1740" s="124">
        <f t="shared" si="236"/>
        <v>663661</v>
      </c>
      <c r="L1740" s="124">
        <v>682073</v>
      </c>
      <c r="M1740" s="124">
        <f t="shared" si="237"/>
        <v>87706</v>
      </c>
      <c r="N1740" s="270">
        <f t="shared" si="239"/>
        <v>0.14756202817451169</v>
      </c>
      <c r="O1740" s="124">
        <f t="shared" si="238"/>
        <v>18412</v>
      </c>
      <c r="P1740" s="270">
        <f t="shared" si="240"/>
        <v>2.7743079674713445E-2</v>
      </c>
    </row>
    <row r="1741" spans="1:16">
      <c r="E1741" s="302"/>
      <c r="F1741" s="298"/>
      <c r="G1741" s="135"/>
      <c r="H1741" s="298"/>
      <c r="I1741" s="298"/>
      <c r="J1741" s="298"/>
      <c r="K1741" s="298">
        <f t="shared" si="236"/>
        <v>0</v>
      </c>
      <c r="L1741" s="298">
        <v>0</v>
      </c>
      <c r="M1741" s="298">
        <f t="shared" si="237"/>
        <v>0</v>
      </c>
      <c r="N1741" s="299"/>
      <c r="O1741" s="298">
        <f t="shared" si="238"/>
        <v>0</v>
      </c>
      <c r="P1741" s="299"/>
    </row>
    <row r="1742" spans="1:16">
      <c r="A1742" s="77" t="s">
        <v>672</v>
      </c>
      <c r="B1742" s="77" t="s">
        <v>177</v>
      </c>
      <c r="C1742" s="537"/>
      <c r="D1742" s="537"/>
      <c r="E1742" s="290" t="s">
        <v>387</v>
      </c>
      <c r="F1742" s="291">
        <v>68600</v>
      </c>
      <c r="G1742" s="135"/>
      <c r="H1742" s="291">
        <v>5000</v>
      </c>
      <c r="I1742" s="291">
        <v>6000</v>
      </c>
      <c r="J1742" s="291"/>
      <c r="K1742" s="291">
        <f t="shared" si="236"/>
        <v>79600</v>
      </c>
      <c r="L1742" s="291">
        <v>76700</v>
      </c>
      <c r="M1742" s="291">
        <f t="shared" si="237"/>
        <v>8100</v>
      </c>
      <c r="N1742" s="282">
        <f t="shared" si="239"/>
        <v>0.11807580174927114</v>
      </c>
      <c r="O1742" s="291">
        <f t="shared" si="238"/>
        <v>-2900</v>
      </c>
      <c r="P1742" s="282">
        <f t="shared" si="240"/>
        <v>-3.6432160804020099E-2</v>
      </c>
    </row>
    <row r="1743" spans="1:16">
      <c r="E1743" s="290"/>
      <c r="F1743" s="291"/>
      <c r="G1743" s="135"/>
      <c r="H1743" s="291"/>
      <c r="I1743" s="291"/>
      <c r="J1743" s="291"/>
      <c r="K1743" s="291">
        <f t="shared" si="236"/>
        <v>0</v>
      </c>
      <c r="L1743" s="291">
        <v>0</v>
      </c>
      <c r="M1743" s="291">
        <f t="shared" si="237"/>
        <v>0</v>
      </c>
      <c r="N1743" s="282"/>
      <c r="O1743" s="291">
        <f t="shared" si="238"/>
        <v>0</v>
      </c>
      <c r="P1743" s="282"/>
    </row>
    <row r="1744" spans="1:16">
      <c r="A1744" s="77" t="s">
        <v>672</v>
      </c>
      <c r="B1744" s="77" t="s">
        <v>177</v>
      </c>
      <c r="C1744" s="537"/>
      <c r="D1744" s="537"/>
      <c r="E1744" s="290" t="s">
        <v>141</v>
      </c>
      <c r="F1744" s="291">
        <v>1000</v>
      </c>
      <c r="G1744" s="135"/>
      <c r="H1744" s="291"/>
      <c r="I1744" s="291"/>
      <c r="J1744" s="291"/>
      <c r="K1744" s="291">
        <f t="shared" si="236"/>
        <v>1000</v>
      </c>
      <c r="L1744" s="291">
        <v>1000</v>
      </c>
      <c r="M1744" s="291">
        <f t="shared" si="237"/>
        <v>0</v>
      </c>
      <c r="N1744" s="282">
        <f t="shared" si="239"/>
        <v>0</v>
      </c>
      <c r="O1744" s="291">
        <f t="shared" si="238"/>
        <v>0</v>
      </c>
      <c r="P1744" s="282">
        <f t="shared" si="240"/>
        <v>0</v>
      </c>
    </row>
    <row r="1745" spans="1:16">
      <c r="E1745" s="290"/>
      <c r="F1745" s="291"/>
      <c r="G1745" s="135"/>
      <c r="H1745" s="291"/>
      <c r="I1745" s="291"/>
      <c r="J1745" s="291"/>
      <c r="K1745" s="291">
        <f t="shared" si="236"/>
        <v>0</v>
      </c>
      <c r="L1745" s="291">
        <v>0</v>
      </c>
      <c r="M1745" s="291">
        <f t="shared" si="237"/>
        <v>0</v>
      </c>
      <c r="N1745" s="282"/>
      <c r="O1745" s="291">
        <f t="shared" si="238"/>
        <v>0</v>
      </c>
      <c r="P1745" s="282"/>
    </row>
    <row r="1746" spans="1:16">
      <c r="A1746" s="77" t="s">
        <v>675</v>
      </c>
      <c r="B1746" s="77" t="s">
        <v>177</v>
      </c>
      <c r="C1746" s="537"/>
      <c r="D1746" s="537"/>
      <c r="E1746" s="290" t="s">
        <v>169</v>
      </c>
      <c r="F1746" s="291">
        <v>9600</v>
      </c>
      <c r="G1746" s="135"/>
      <c r="H1746" s="291"/>
      <c r="I1746" s="291">
        <v>1000</v>
      </c>
      <c r="J1746" s="291"/>
      <c r="K1746" s="291">
        <f t="shared" si="236"/>
        <v>10600</v>
      </c>
      <c r="L1746" s="291">
        <v>9600</v>
      </c>
      <c r="M1746" s="291">
        <f t="shared" si="237"/>
        <v>0</v>
      </c>
      <c r="N1746" s="282">
        <f t="shared" si="239"/>
        <v>0</v>
      </c>
      <c r="O1746" s="291">
        <f t="shared" si="238"/>
        <v>-1000</v>
      </c>
      <c r="P1746" s="282">
        <f t="shared" si="240"/>
        <v>-9.4339622641509441E-2</v>
      </c>
    </row>
    <row r="1747" spans="1:16">
      <c r="E1747" s="104"/>
      <c r="F1747" s="136"/>
      <c r="G1747" s="135"/>
      <c r="H1747" s="136"/>
      <c r="I1747" s="136"/>
      <c r="J1747" s="136"/>
      <c r="K1747" s="291">
        <f t="shared" si="236"/>
        <v>0</v>
      </c>
      <c r="L1747" s="136">
        <v>0</v>
      </c>
      <c r="M1747" s="136">
        <f t="shared" si="237"/>
        <v>0</v>
      </c>
      <c r="N1747" s="157"/>
      <c r="O1747" s="136">
        <f t="shared" si="238"/>
        <v>0</v>
      </c>
      <c r="P1747" s="157"/>
    </row>
    <row r="1748" spans="1:16">
      <c r="A1748" s="77" t="s">
        <v>679</v>
      </c>
      <c r="B1748" s="77" t="s">
        <v>177</v>
      </c>
      <c r="C1748" s="537" t="s">
        <v>1021</v>
      </c>
      <c r="D1748" s="537" t="s">
        <v>1007</v>
      </c>
      <c r="E1748" s="290" t="s">
        <v>165</v>
      </c>
      <c r="F1748" s="291">
        <v>44400</v>
      </c>
      <c r="G1748" s="135"/>
      <c r="H1748" s="291">
        <v>10000</v>
      </c>
      <c r="I1748" s="291"/>
      <c r="J1748" s="291"/>
      <c r="K1748" s="291">
        <f t="shared" si="236"/>
        <v>54400</v>
      </c>
      <c r="L1748" s="291">
        <v>59100</v>
      </c>
      <c r="M1748" s="291">
        <f t="shared" si="237"/>
        <v>14700</v>
      </c>
      <c r="N1748" s="282">
        <f t="shared" si="239"/>
        <v>0.33108108108108109</v>
      </c>
      <c r="O1748" s="291">
        <f t="shared" si="238"/>
        <v>4700</v>
      </c>
      <c r="P1748" s="282">
        <f t="shared" si="240"/>
        <v>8.639705882352941E-2</v>
      </c>
    </row>
    <row r="1749" spans="1:16">
      <c r="E1749" s="290"/>
      <c r="F1749" s="291"/>
      <c r="G1749" s="135"/>
      <c r="H1749" s="291"/>
      <c r="I1749" s="291"/>
      <c r="J1749" s="291"/>
      <c r="K1749" s="291">
        <f t="shared" si="236"/>
        <v>0</v>
      </c>
      <c r="L1749" s="291">
        <v>0</v>
      </c>
      <c r="M1749" s="291">
        <f t="shared" si="237"/>
        <v>0</v>
      </c>
      <c r="N1749" s="282"/>
      <c r="O1749" s="291">
        <f t="shared" si="238"/>
        <v>0</v>
      </c>
      <c r="P1749" s="282"/>
    </row>
    <row r="1750" spans="1:16">
      <c r="A1750" s="77" t="s">
        <v>679</v>
      </c>
      <c r="B1750" s="77" t="s">
        <v>177</v>
      </c>
      <c r="C1750" s="537" t="s">
        <v>1021</v>
      </c>
      <c r="D1750" s="537" t="s">
        <v>1007</v>
      </c>
      <c r="E1750" s="290" t="s">
        <v>170</v>
      </c>
      <c r="F1750" s="291">
        <v>186500</v>
      </c>
      <c r="G1750" s="135"/>
      <c r="H1750" s="291">
        <v>57765</v>
      </c>
      <c r="I1750" s="291"/>
      <c r="J1750" s="291"/>
      <c r="K1750" s="291">
        <f t="shared" si="236"/>
        <v>244265</v>
      </c>
      <c r="L1750" s="291">
        <v>246605</v>
      </c>
      <c r="M1750" s="291">
        <f t="shared" si="237"/>
        <v>60105</v>
      </c>
      <c r="N1750" s="282">
        <f t="shared" si="239"/>
        <v>0.32227882037533512</v>
      </c>
      <c r="O1750" s="291">
        <f t="shared" si="238"/>
        <v>2340</v>
      </c>
      <c r="P1750" s="282">
        <f t="shared" si="240"/>
        <v>9.5797596872249403E-3</v>
      </c>
    </row>
    <row r="1751" spans="1:16">
      <c r="E1751" s="147"/>
      <c r="F1751" s="136"/>
      <c r="G1751" s="135"/>
      <c r="H1751" s="136"/>
      <c r="I1751" s="136"/>
      <c r="J1751" s="135"/>
      <c r="K1751" s="291">
        <f t="shared" si="236"/>
        <v>0</v>
      </c>
      <c r="L1751" s="136">
        <v>0</v>
      </c>
      <c r="M1751" s="136">
        <f t="shared" si="237"/>
        <v>0</v>
      </c>
      <c r="N1751" s="157"/>
      <c r="O1751" s="136">
        <f t="shared" si="238"/>
        <v>0</v>
      </c>
      <c r="P1751" s="157"/>
    </row>
    <row r="1752" spans="1:16">
      <c r="A1752" s="77" t="s">
        <v>672</v>
      </c>
      <c r="B1752" s="77" t="s">
        <v>177</v>
      </c>
      <c r="C1752" s="537"/>
      <c r="D1752" s="537"/>
      <c r="E1752" s="290" t="s">
        <v>941</v>
      </c>
      <c r="F1752" s="136"/>
      <c r="G1752" s="135"/>
      <c r="H1752" s="291">
        <f>12225-1605</f>
        <v>10620</v>
      </c>
      <c r="I1752" s="291"/>
      <c r="J1752" s="291"/>
      <c r="K1752" s="291">
        <f t="shared" si="236"/>
        <v>10620</v>
      </c>
      <c r="L1752" s="136">
        <v>5000</v>
      </c>
      <c r="M1752" s="136">
        <f t="shared" si="237"/>
        <v>5000</v>
      </c>
      <c r="N1752" s="157"/>
      <c r="O1752" s="136">
        <f t="shared" si="238"/>
        <v>-5620</v>
      </c>
      <c r="P1752" s="157">
        <f t="shared" si="240"/>
        <v>-0.52919020715630882</v>
      </c>
    </row>
    <row r="1753" spans="1:16">
      <c r="E1753" s="130" t="s">
        <v>47</v>
      </c>
      <c r="F1753" s="136"/>
      <c r="G1753" s="135"/>
      <c r="H1753" s="124">
        <f>5400-1200</f>
        <v>4200</v>
      </c>
      <c r="I1753" s="124"/>
      <c r="J1753" s="124"/>
      <c r="K1753" s="291">
        <f t="shared" si="236"/>
        <v>4200</v>
      </c>
      <c r="L1753" s="136">
        <v>0</v>
      </c>
      <c r="M1753" s="136">
        <f t="shared" si="237"/>
        <v>0</v>
      </c>
      <c r="N1753" s="157"/>
      <c r="O1753" s="136">
        <f t="shared" si="238"/>
        <v>-4200</v>
      </c>
      <c r="P1753" s="157">
        <f t="shared" si="240"/>
        <v>-1</v>
      </c>
    </row>
    <row r="1754" spans="1:16">
      <c r="E1754" s="147"/>
      <c r="F1754" s="136"/>
      <c r="G1754" s="135"/>
      <c r="H1754" s="136"/>
      <c r="I1754" s="136"/>
      <c r="J1754" s="135"/>
      <c r="K1754" s="291">
        <f t="shared" si="236"/>
        <v>0</v>
      </c>
      <c r="L1754" s="136">
        <v>0</v>
      </c>
      <c r="M1754" s="136">
        <f t="shared" si="237"/>
        <v>0</v>
      </c>
      <c r="N1754" s="157"/>
      <c r="O1754" s="136">
        <f t="shared" si="238"/>
        <v>0</v>
      </c>
      <c r="P1754" s="157"/>
    </row>
    <row r="1755" spans="1:16">
      <c r="A1755" s="77" t="s">
        <v>678</v>
      </c>
      <c r="B1755" s="77" t="s">
        <v>177</v>
      </c>
      <c r="C1755" s="537" t="s">
        <v>1028</v>
      </c>
      <c r="D1755" s="537" t="s">
        <v>966</v>
      </c>
      <c r="E1755" s="273" t="s">
        <v>154</v>
      </c>
      <c r="F1755" s="131">
        <v>22065</v>
      </c>
      <c r="G1755" s="135"/>
      <c r="H1755" s="291">
        <v>1985</v>
      </c>
      <c r="I1755" s="131">
        <v>3000</v>
      </c>
      <c r="J1755" s="135"/>
      <c r="K1755" s="131">
        <f t="shared" si="236"/>
        <v>27050</v>
      </c>
      <c r="L1755" s="131">
        <v>29545</v>
      </c>
      <c r="M1755" s="131">
        <f t="shared" si="237"/>
        <v>7480</v>
      </c>
      <c r="N1755" s="157">
        <f t="shared" si="239"/>
        <v>0.33899841377747564</v>
      </c>
      <c r="O1755" s="131">
        <f t="shared" si="238"/>
        <v>2495</v>
      </c>
      <c r="P1755" s="157">
        <f t="shared" si="240"/>
        <v>9.2236598890942698E-2</v>
      </c>
    </row>
    <row r="1756" spans="1:16">
      <c r="E1756" s="271"/>
      <c r="F1756" s="128"/>
      <c r="G1756" s="135"/>
      <c r="H1756" s="136"/>
      <c r="I1756" s="136"/>
      <c r="J1756" s="135"/>
      <c r="K1756" s="128">
        <f t="shared" si="236"/>
        <v>0</v>
      </c>
      <c r="L1756" s="128">
        <v>0</v>
      </c>
      <c r="M1756" s="128">
        <f t="shared" si="237"/>
        <v>0</v>
      </c>
      <c r="N1756" s="91"/>
      <c r="O1756" s="128">
        <f t="shared" si="238"/>
        <v>0</v>
      </c>
      <c r="P1756" s="91"/>
    </row>
    <row r="1757" spans="1:16">
      <c r="A1757" s="77" t="s">
        <v>692</v>
      </c>
      <c r="B1757" s="77" t="s">
        <v>177</v>
      </c>
      <c r="C1757" s="537"/>
      <c r="D1757" s="537"/>
      <c r="E1757" s="273" t="s">
        <v>172</v>
      </c>
      <c r="F1757" s="131">
        <v>12500</v>
      </c>
      <c r="G1757" s="135"/>
      <c r="H1757" s="136"/>
      <c r="I1757" s="136"/>
      <c r="J1757" s="135"/>
      <c r="K1757" s="131">
        <f t="shared" si="236"/>
        <v>12500</v>
      </c>
      <c r="L1757" s="131">
        <v>9810</v>
      </c>
      <c r="M1757" s="131">
        <f t="shared" si="237"/>
        <v>-2690</v>
      </c>
      <c r="N1757" s="157">
        <f t="shared" si="239"/>
        <v>-0.2152</v>
      </c>
      <c r="O1757" s="131">
        <f t="shared" si="238"/>
        <v>-2690</v>
      </c>
      <c r="P1757" s="157">
        <f t="shared" si="240"/>
        <v>-0.2152</v>
      </c>
    </row>
    <row r="1758" spans="1:16">
      <c r="E1758" s="147"/>
      <c r="F1758" s="136"/>
      <c r="G1758" s="135"/>
      <c r="H1758" s="136"/>
      <c r="I1758" s="136"/>
      <c r="J1758" s="135"/>
      <c r="K1758" s="136">
        <f t="shared" si="236"/>
        <v>0</v>
      </c>
      <c r="L1758" s="136">
        <v>0</v>
      </c>
      <c r="M1758" s="136">
        <f t="shared" si="237"/>
        <v>0</v>
      </c>
      <c r="N1758" s="157"/>
      <c r="O1758" s="136">
        <f t="shared" si="238"/>
        <v>0</v>
      </c>
      <c r="P1758" s="157"/>
    </row>
    <row r="1759" spans="1:16">
      <c r="E1759" s="147"/>
      <c r="F1759" s="136"/>
      <c r="G1759" s="135"/>
      <c r="H1759" s="136"/>
      <c r="I1759" s="136"/>
      <c r="J1759" s="135"/>
      <c r="K1759" s="136">
        <f t="shared" si="236"/>
        <v>0</v>
      </c>
      <c r="L1759" s="136">
        <v>0</v>
      </c>
      <c r="M1759" s="136">
        <f t="shared" si="237"/>
        <v>0</v>
      </c>
      <c r="N1759" s="157"/>
      <c r="O1759" s="136">
        <f t="shared" si="238"/>
        <v>0</v>
      </c>
      <c r="P1759" s="157"/>
    </row>
    <row r="1760" spans="1:16" ht="15.6">
      <c r="E1760" s="259" t="s">
        <v>178</v>
      </c>
      <c r="F1760" s="260"/>
      <c r="G1760" s="135"/>
      <c r="H1760" s="136"/>
      <c r="I1760" s="136"/>
      <c r="J1760" s="135"/>
      <c r="K1760" s="260">
        <f t="shared" si="236"/>
        <v>0</v>
      </c>
      <c r="L1760" s="260">
        <v>0</v>
      </c>
      <c r="M1760" s="260">
        <f t="shared" si="237"/>
        <v>0</v>
      </c>
      <c r="N1760" s="275"/>
      <c r="O1760" s="260">
        <f t="shared" si="238"/>
        <v>0</v>
      </c>
      <c r="P1760" s="275"/>
    </row>
    <row r="1761" spans="1:16">
      <c r="E1761" s="147"/>
      <c r="F1761" s="136"/>
      <c r="G1761" s="135"/>
      <c r="H1761" s="136"/>
      <c r="I1761" s="136"/>
      <c r="J1761" s="135"/>
      <c r="K1761" s="136">
        <f t="shared" si="236"/>
        <v>0</v>
      </c>
      <c r="L1761" s="136">
        <v>0</v>
      </c>
      <c r="M1761" s="136">
        <f t="shared" si="237"/>
        <v>0</v>
      </c>
      <c r="N1761" s="157"/>
      <c r="O1761" s="136">
        <f t="shared" si="238"/>
        <v>0</v>
      </c>
      <c r="P1761" s="157"/>
    </row>
    <row r="1762" spans="1:16">
      <c r="E1762" s="261" t="s">
        <v>98</v>
      </c>
      <c r="F1762" s="127">
        <f>F1770+F1779+F1786+F1796+F1799</f>
        <v>6430096</v>
      </c>
      <c r="G1762" s="127">
        <f>G1770+G1779+G1786+G1796+G1799</f>
        <v>0</v>
      </c>
      <c r="H1762" s="127">
        <f>H1770+H1779+H1786+H1796+H1799</f>
        <v>276644</v>
      </c>
      <c r="I1762" s="127">
        <f>I1770+I1779+I1786+I1796+I1799</f>
        <v>717726</v>
      </c>
      <c r="J1762" s="127">
        <f>J1770+J1779+J1786+J1796+J1799</f>
        <v>356142</v>
      </c>
      <c r="K1762" s="127">
        <f t="shared" si="236"/>
        <v>7780608</v>
      </c>
      <c r="L1762" s="127">
        <f>L1770+L1779+L1786+L1796+L1799</f>
        <v>7364382</v>
      </c>
      <c r="M1762" s="127">
        <f t="shared" si="237"/>
        <v>934286</v>
      </c>
      <c r="N1762" s="160">
        <f t="shared" si="239"/>
        <v>0.14529891933184202</v>
      </c>
      <c r="O1762" s="127">
        <f t="shared" si="238"/>
        <v>-416226</v>
      </c>
      <c r="P1762" s="160">
        <f t="shared" si="240"/>
        <v>-5.3495305251209158E-2</v>
      </c>
    </row>
    <row r="1763" spans="1:16">
      <c r="E1763" s="262" t="s">
        <v>359</v>
      </c>
      <c r="F1763" s="128">
        <v>896300</v>
      </c>
      <c r="G1763" s="135"/>
      <c r="H1763" s="136"/>
      <c r="I1763" s="136"/>
      <c r="J1763" s="136"/>
      <c r="K1763" s="128">
        <f t="shared" si="236"/>
        <v>896300</v>
      </c>
      <c r="L1763" s="128">
        <v>1076500</v>
      </c>
      <c r="M1763" s="128">
        <f t="shared" si="237"/>
        <v>180200</v>
      </c>
      <c r="N1763" s="91">
        <f t="shared" si="239"/>
        <v>0.20104875599687605</v>
      </c>
      <c r="O1763" s="128">
        <f t="shared" si="238"/>
        <v>180200</v>
      </c>
      <c r="P1763" s="91">
        <f t="shared" si="240"/>
        <v>0.20104875599687605</v>
      </c>
    </row>
    <row r="1764" spans="1:16">
      <c r="E1764" s="261" t="s">
        <v>44</v>
      </c>
      <c r="F1764" s="127">
        <f>F1765+F1767</f>
        <v>6430096</v>
      </c>
      <c r="G1764" s="127">
        <f>G1765+G1767</f>
        <v>0</v>
      </c>
      <c r="H1764" s="127">
        <f>H1765+H1767</f>
        <v>276644</v>
      </c>
      <c r="I1764" s="127">
        <f>I1765+I1767+I1766</f>
        <v>717726</v>
      </c>
      <c r="J1764" s="127">
        <f>J1765+J1767</f>
        <v>356142</v>
      </c>
      <c r="K1764" s="127">
        <f t="shared" si="236"/>
        <v>7780608</v>
      </c>
      <c r="L1764" s="127">
        <f>L1765+L1767</f>
        <v>7364382</v>
      </c>
      <c r="M1764" s="127">
        <f t="shared" si="237"/>
        <v>934286</v>
      </c>
      <c r="N1764" s="160">
        <f t="shared" si="239"/>
        <v>0.14529891933184202</v>
      </c>
      <c r="O1764" s="127">
        <f t="shared" si="238"/>
        <v>-416226</v>
      </c>
      <c r="P1764" s="160">
        <f t="shared" si="240"/>
        <v>-5.3495305251209158E-2</v>
      </c>
    </row>
    <row r="1765" spans="1:16">
      <c r="E1765" s="262" t="s">
        <v>45</v>
      </c>
      <c r="F1765" s="128">
        <v>1525863</v>
      </c>
      <c r="G1765" s="135"/>
      <c r="H1765" s="136">
        <v>152000</v>
      </c>
      <c r="I1765" s="138">
        <v>70135</v>
      </c>
      <c r="J1765" s="136"/>
      <c r="K1765" s="128">
        <f t="shared" si="236"/>
        <v>1747998</v>
      </c>
      <c r="L1765" s="128">
        <v>1751125</v>
      </c>
      <c r="M1765" s="128">
        <f t="shared" si="237"/>
        <v>225262</v>
      </c>
      <c r="N1765" s="91">
        <f t="shared" si="239"/>
        <v>0.14762924325447305</v>
      </c>
      <c r="O1765" s="128">
        <f t="shared" si="238"/>
        <v>3127</v>
      </c>
      <c r="P1765" s="91">
        <f t="shared" si="240"/>
        <v>1.7889036486311769E-3</v>
      </c>
    </row>
    <row r="1766" spans="1:16">
      <c r="E1766" s="263" t="s">
        <v>0</v>
      </c>
      <c r="F1766" s="128"/>
      <c r="G1766" s="135"/>
      <c r="H1766" s="136"/>
      <c r="I1766" s="138">
        <v>528411</v>
      </c>
      <c r="J1766" s="136"/>
      <c r="K1766" s="128">
        <f t="shared" si="236"/>
        <v>528411</v>
      </c>
      <c r="L1766" s="128"/>
      <c r="M1766" s="128">
        <f t="shared" si="237"/>
        <v>0</v>
      </c>
      <c r="N1766" s="91"/>
      <c r="O1766" s="128">
        <f t="shared" si="238"/>
        <v>-528411</v>
      </c>
      <c r="P1766" s="91">
        <f t="shared" si="240"/>
        <v>-1</v>
      </c>
    </row>
    <row r="1767" spans="1:16">
      <c r="E1767" s="263" t="s">
        <v>46</v>
      </c>
      <c r="F1767" s="128">
        <f>F1762-F1765</f>
        <v>4904233</v>
      </c>
      <c r="G1767" s="128">
        <f>G1762-G1765</f>
        <v>0</v>
      </c>
      <c r="H1767" s="128">
        <f>H1762-H1765</f>
        <v>124644</v>
      </c>
      <c r="I1767" s="128">
        <f>I1762-I1765-I1766</f>
        <v>119180</v>
      </c>
      <c r="J1767" s="128">
        <f>J1762-J1765</f>
        <v>356142</v>
      </c>
      <c r="K1767" s="128">
        <f t="shared" si="236"/>
        <v>5504199</v>
      </c>
      <c r="L1767" s="128">
        <f>L1762-L1765</f>
        <v>5613257</v>
      </c>
      <c r="M1767" s="128">
        <f t="shared" si="237"/>
        <v>709024</v>
      </c>
      <c r="N1767" s="91">
        <f t="shared" si="239"/>
        <v>0.14457388137961635</v>
      </c>
      <c r="O1767" s="128">
        <f t="shared" si="238"/>
        <v>109058</v>
      </c>
      <c r="P1767" s="91">
        <f t="shared" si="240"/>
        <v>1.9813600489371842E-2</v>
      </c>
    </row>
    <row r="1768" spans="1:16" s="10" customFormat="1">
      <c r="A1768" s="135"/>
      <c r="B1768" s="135"/>
      <c r="C1768" s="482"/>
      <c r="D1768" s="482"/>
      <c r="E1768" s="264" t="s">
        <v>718</v>
      </c>
      <c r="F1768" s="129">
        <f>F1772+F1784+F1790+F1794+F1802+F1807</f>
        <v>2507089</v>
      </c>
      <c r="G1768" s="129">
        <f>G1772+G1784+G1790+G1794+G1802+G1807</f>
        <v>0</v>
      </c>
      <c r="H1768" s="129">
        <f>H1772+H1784+H1790+H1794+H1802+H1807</f>
        <v>71997</v>
      </c>
      <c r="I1768" s="129">
        <f>I1772+I1784+I1790+I1794+I1802+I1807</f>
        <v>-23672</v>
      </c>
      <c r="J1768" s="129">
        <f>J1772+J1784+J1790+J1794+J1802+J1807</f>
        <v>266174</v>
      </c>
      <c r="K1768" s="129">
        <f t="shared" si="236"/>
        <v>2821588</v>
      </c>
      <c r="L1768" s="129">
        <f>L1772+L1784+L1790+L1794+L1802+L1807</f>
        <v>2974792</v>
      </c>
      <c r="M1768" s="129">
        <f t="shared" si="237"/>
        <v>467703</v>
      </c>
      <c r="N1768" s="265">
        <f t="shared" si="239"/>
        <v>0.18655221254610427</v>
      </c>
      <c r="O1768" s="129">
        <f t="shared" si="238"/>
        <v>153204</v>
      </c>
      <c r="P1768" s="265">
        <f t="shared" si="240"/>
        <v>5.429708376984875E-2</v>
      </c>
    </row>
    <row r="1769" spans="1:16">
      <c r="E1769" s="263"/>
      <c r="F1769" s="128"/>
      <c r="G1769" s="135"/>
      <c r="H1769" s="136"/>
      <c r="I1769" s="136"/>
      <c r="J1769" s="136"/>
      <c r="K1769" s="128">
        <f t="shared" si="236"/>
        <v>0</v>
      </c>
      <c r="L1769" s="128">
        <v>0</v>
      </c>
      <c r="M1769" s="128">
        <f t="shared" si="237"/>
        <v>0</v>
      </c>
      <c r="N1769" s="91"/>
      <c r="O1769" s="128">
        <f t="shared" si="238"/>
        <v>0</v>
      </c>
      <c r="P1769" s="91"/>
    </row>
    <row r="1770" spans="1:16" ht="13.8">
      <c r="A1770" s="77" t="s">
        <v>672</v>
      </c>
      <c r="B1770" s="77" t="s">
        <v>178</v>
      </c>
      <c r="E1770" s="443" t="s">
        <v>103</v>
      </c>
      <c r="F1770" s="444">
        <f>F1771</f>
        <v>618890</v>
      </c>
      <c r="G1770" s="444">
        <f t="shared" ref="G1770:J1770" si="241">G1771</f>
        <v>0</v>
      </c>
      <c r="H1770" s="444">
        <f t="shared" si="241"/>
        <v>169000</v>
      </c>
      <c r="I1770" s="444">
        <f t="shared" si="241"/>
        <v>-12000</v>
      </c>
      <c r="J1770" s="444">
        <f t="shared" si="241"/>
        <v>23119</v>
      </c>
      <c r="K1770" s="444">
        <f t="shared" si="236"/>
        <v>799009</v>
      </c>
      <c r="L1770" s="444">
        <f>L1771</f>
        <v>778646</v>
      </c>
      <c r="M1770" s="444">
        <f t="shared" si="237"/>
        <v>159756</v>
      </c>
      <c r="N1770" s="313">
        <f t="shared" si="239"/>
        <v>0.25813310927628497</v>
      </c>
      <c r="O1770" s="444">
        <f t="shared" si="238"/>
        <v>-20363</v>
      </c>
      <c r="P1770" s="313">
        <f t="shared" si="240"/>
        <v>-2.548531994007577E-2</v>
      </c>
    </row>
    <row r="1771" spans="1:16">
      <c r="C1771" s="537"/>
      <c r="D1771" s="537"/>
      <c r="E1771" s="339" t="s">
        <v>578</v>
      </c>
      <c r="F1771" s="123">
        <v>618890</v>
      </c>
      <c r="G1771" s="135"/>
      <c r="H1771" s="123">
        <v>169000</v>
      </c>
      <c r="I1771" s="123">
        <f>I1774</f>
        <v>-12000</v>
      </c>
      <c r="J1771" s="123">
        <f>J1774</f>
        <v>23119</v>
      </c>
      <c r="K1771" s="123">
        <f t="shared" si="236"/>
        <v>799009</v>
      </c>
      <c r="L1771" s="123">
        <f>L1774</f>
        <v>778646</v>
      </c>
      <c r="M1771" s="123">
        <f t="shared" si="237"/>
        <v>159756</v>
      </c>
      <c r="N1771" s="160">
        <f t="shared" si="239"/>
        <v>0.25813310927628497</v>
      </c>
      <c r="O1771" s="123">
        <f t="shared" si="238"/>
        <v>-20363</v>
      </c>
      <c r="P1771" s="160">
        <f t="shared" si="240"/>
        <v>-2.548531994007577E-2</v>
      </c>
    </row>
    <row r="1772" spans="1:16">
      <c r="E1772" s="132" t="s">
        <v>47</v>
      </c>
      <c r="F1772" s="124">
        <f>265941-14250</f>
        <v>251691</v>
      </c>
      <c r="G1772" s="135"/>
      <c r="H1772" s="136"/>
      <c r="I1772" s="136"/>
      <c r="J1772" s="272">
        <f>J1775</f>
        <v>17279</v>
      </c>
      <c r="K1772" s="124">
        <f t="shared" si="236"/>
        <v>268970</v>
      </c>
      <c r="L1772" s="124">
        <f>L1775</f>
        <v>271398</v>
      </c>
      <c r="M1772" s="124">
        <f t="shared" si="237"/>
        <v>19707</v>
      </c>
      <c r="N1772" s="270">
        <f t="shared" si="239"/>
        <v>7.829838969212248E-2</v>
      </c>
      <c r="O1772" s="124">
        <f t="shared" si="238"/>
        <v>2428</v>
      </c>
      <c r="P1772" s="270">
        <f t="shared" si="240"/>
        <v>9.0270290366955431E-3</v>
      </c>
    </row>
    <row r="1773" spans="1:16">
      <c r="E1773" s="447" t="s">
        <v>101</v>
      </c>
      <c r="F1773" s="124"/>
      <c r="G1773" s="135"/>
      <c r="H1773" s="136"/>
      <c r="I1773" s="136"/>
      <c r="J1773" s="136"/>
      <c r="K1773" s="124">
        <f t="shared" si="236"/>
        <v>0</v>
      </c>
      <c r="L1773" s="124">
        <v>0</v>
      </c>
      <c r="M1773" s="124">
        <f t="shared" si="237"/>
        <v>0</v>
      </c>
      <c r="N1773" s="270"/>
      <c r="O1773" s="124">
        <f t="shared" si="238"/>
        <v>0</v>
      </c>
      <c r="P1773" s="270"/>
    </row>
    <row r="1774" spans="1:16">
      <c r="E1774" s="448" t="s">
        <v>872</v>
      </c>
      <c r="F1774" s="123">
        <v>618890</v>
      </c>
      <c r="G1774" s="135"/>
      <c r="H1774" s="136"/>
      <c r="I1774" s="136">
        <v>-12000</v>
      </c>
      <c r="J1774" s="136">
        <v>23119</v>
      </c>
      <c r="K1774" s="124">
        <f t="shared" si="236"/>
        <v>630009</v>
      </c>
      <c r="L1774" s="123">
        <v>778646</v>
      </c>
      <c r="M1774" s="123">
        <f t="shared" si="237"/>
        <v>159756</v>
      </c>
      <c r="N1774" s="160">
        <f t="shared" si="239"/>
        <v>0.25813310927628497</v>
      </c>
      <c r="O1774" s="123">
        <f t="shared" si="238"/>
        <v>148637</v>
      </c>
      <c r="P1774" s="160">
        <f t="shared" si="240"/>
        <v>0.23592837562637994</v>
      </c>
    </row>
    <row r="1775" spans="1:16">
      <c r="E1775" s="323" t="s">
        <v>47</v>
      </c>
      <c r="F1775" s="124">
        <f>265941-14250</f>
        <v>251691</v>
      </c>
      <c r="G1775" s="135"/>
      <c r="H1775" s="136"/>
      <c r="I1775" s="136"/>
      <c r="J1775" s="272">
        <v>17279</v>
      </c>
      <c r="K1775" s="124">
        <f t="shared" si="236"/>
        <v>268970</v>
      </c>
      <c r="L1775" s="124">
        <v>271398</v>
      </c>
      <c r="M1775" s="124">
        <f t="shared" si="237"/>
        <v>19707</v>
      </c>
      <c r="N1775" s="270">
        <f t="shared" si="239"/>
        <v>7.829838969212248E-2</v>
      </c>
      <c r="O1775" s="124">
        <f t="shared" si="238"/>
        <v>2428</v>
      </c>
      <c r="P1775" s="270">
        <f t="shared" si="240"/>
        <v>9.0270290366955431E-3</v>
      </c>
    </row>
    <row r="1776" spans="1:16">
      <c r="E1776" s="323"/>
      <c r="F1776" s="124"/>
      <c r="G1776" s="135"/>
      <c r="H1776" s="136"/>
      <c r="I1776" s="136"/>
      <c r="J1776" s="272"/>
      <c r="K1776" s="124">
        <f t="shared" si="236"/>
        <v>0</v>
      </c>
      <c r="L1776" s="124">
        <v>0</v>
      </c>
      <c r="M1776" s="124">
        <f t="shared" si="237"/>
        <v>0</v>
      </c>
      <c r="N1776" s="270"/>
      <c r="O1776" s="124">
        <f t="shared" si="238"/>
        <v>0</v>
      </c>
      <c r="P1776" s="270"/>
    </row>
    <row r="1777" spans="1:16">
      <c r="E1777" s="316" t="s">
        <v>1169</v>
      </c>
      <c r="F1777" s="124"/>
      <c r="G1777" s="135"/>
      <c r="H1777" s="136"/>
      <c r="I1777" s="272">
        <v>19860</v>
      </c>
      <c r="J1777" s="272"/>
      <c r="K1777" s="124">
        <f t="shared" si="236"/>
        <v>19860</v>
      </c>
      <c r="L1777" s="124">
        <v>0</v>
      </c>
      <c r="M1777" s="124">
        <f t="shared" si="237"/>
        <v>0</v>
      </c>
      <c r="N1777" s="270"/>
      <c r="O1777" s="124">
        <f t="shared" si="238"/>
        <v>-19860</v>
      </c>
      <c r="P1777" s="270">
        <f t="shared" si="240"/>
        <v>-1</v>
      </c>
    </row>
    <row r="1778" spans="1:16">
      <c r="E1778" s="367"/>
      <c r="F1778" s="353"/>
      <c r="G1778" s="135"/>
      <c r="H1778" s="136"/>
      <c r="I1778" s="136"/>
      <c r="J1778" s="136"/>
      <c r="K1778" s="353">
        <f t="shared" si="236"/>
        <v>0</v>
      </c>
      <c r="L1778" s="353">
        <v>0</v>
      </c>
      <c r="M1778" s="353">
        <f t="shared" si="237"/>
        <v>0</v>
      </c>
      <c r="N1778" s="287"/>
      <c r="O1778" s="353">
        <f t="shared" si="238"/>
        <v>0</v>
      </c>
      <c r="P1778" s="287"/>
    </row>
    <row r="1779" spans="1:16" ht="13.8">
      <c r="A1779" s="77" t="s">
        <v>674</v>
      </c>
      <c r="B1779" s="77" t="s">
        <v>178</v>
      </c>
      <c r="E1779" s="443" t="s">
        <v>105</v>
      </c>
      <c r="F1779" s="444">
        <f>F1780</f>
        <v>171226</v>
      </c>
      <c r="G1779" s="444">
        <f t="shared" ref="G1779:J1779" si="242">G1780</f>
        <v>0</v>
      </c>
      <c r="H1779" s="444">
        <f t="shared" si="242"/>
        <v>15360</v>
      </c>
      <c r="I1779" s="444">
        <f t="shared" si="242"/>
        <v>14700</v>
      </c>
      <c r="J1779" s="444">
        <f t="shared" si="242"/>
        <v>9930</v>
      </c>
      <c r="K1779" s="444">
        <f t="shared" si="236"/>
        <v>211216</v>
      </c>
      <c r="L1779" s="444">
        <f>L1780</f>
        <v>201073</v>
      </c>
      <c r="M1779" s="444">
        <f t="shared" si="237"/>
        <v>29847</v>
      </c>
      <c r="N1779" s="313">
        <f t="shared" si="239"/>
        <v>0.17431348042937406</v>
      </c>
      <c r="O1779" s="444">
        <f t="shared" si="238"/>
        <v>-10143</v>
      </c>
      <c r="P1779" s="313">
        <f t="shared" si="240"/>
        <v>-4.8021930156806301E-2</v>
      </c>
    </row>
    <row r="1780" spans="1:16">
      <c r="C1780" s="537"/>
      <c r="D1780" s="537"/>
      <c r="E1780" s="339" t="s">
        <v>106</v>
      </c>
      <c r="F1780" s="123">
        <f>F1783</f>
        <v>171226</v>
      </c>
      <c r="G1780" s="123">
        <f t="shared" ref="G1780:J1780" si="243">G1783</f>
        <v>0</v>
      </c>
      <c r="H1780" s="123">
        <f t="shared" si="243"/>
        <v>15360</v>
      </c>
      <c r="I1780" s="123">
        <f t="shared" si="243"/>
        <v>14700</v>
      </c>
      <c r="J1780" s="123">
        <f t="shared" si="243"/>
        <v>9930</v>
      </c>
      <c r="K1780" s="123">
        <f t="shared" si="236"/>
        <v>211216</v>
      </c>
      <c r="L1780" s="123">
        <f>L1783</f>
        <v>201073</v>
      </c>
      <c r="M1780" s="123">
        <f t="shared" si="237"/>
        <v>29847</v>
      </c>
      <c r="N1780" s="160">
        <f t="shared" si="239"/>
        <v>0.17431348042937406</v>
      </c>
      <c r="O1780" s="123">
        <f t="shared" si="238"/>
        <v>-10143</v>
      </c>
      <c r="P1780" s="160">
        <f t="shared" si="240"/>
        <v>-4.8021930156806301E-2</v>
      </c>
    </row>
    <row r="1781" spans="1:16">
      <c r="E1781" s="463"/>
      <c r="F1781" s="464"/>
      <c r="G1781" s="135"/>
      <c r="H1781" s="136"/>
      <c r="I1781" s="136"/>
      <c r="J1781" s="136"/>
      <c r="K1781" s="464">
        <f t="shared" si="236"/>
        <v>0</v>
      </c>
      <c r="L1781" s="464">
        <v>0</v>
      </c>
      <c r="M1781" s="464">
        <f t="shared" si="237"/>
        <v>0</v>
      </c>
      <c r="N1781" s="299"/>
      <c r="O1781" s="464">
        <f t="shared" si="238"/>
        <v>0</v>
      </c>
      <c r="P1781" s="299"/>
    </row>
    <row r="1782" spans="1:16">
      <c r="E1782" s="450" t="s">
        <v>101</v>
      </c>
      <c r="F1782" s="127"/>
      <c r="G1782" s="135"/>
      <c r="H1782" s="136"/>
      <c r="I1782" s="136"/>
      <c r="J1782" s="136"/>
      <c r="K1782" s="127">
        <f t="shared" si="236"/>
        <v>0</v>
      </c>
      <c r="L1782" s="127">
        <v>0</v>
      </c>
      <c r="M1782" s="127">
        <f t="shared" si="237"/>
        <v>0</v>
      </c>
      <c r="N1782" s="160"/>
      <c r="O1782" s="127">
        <f t="shared" si="238"/>
        <v>0</v>
      </c>
      <c r="P1782" s="160"/>
    </row>
    <row r="1783" spans="1:16">
      <c r="E1783" s="336" t="s">
        <v>579</v>
      </c>
      <c r="F1783" s="268">
        <v>171226</v>
      </c>
      <c r="G1783" s="135"/>
      <c r="H1783" s="136">
        <v>15360</v>
      </c>
      <c r="I1783" s="136">
        <v>14700</v>
      </c>
      <c r="J1783" s="136">
        <v>9930</v>
      </c>
      <c r="K1783" s="268">
        <f t="shared" si="236"/>
        <v>211216</v>
      </c>
      <c r="L1783" s="268">
        <v>201073</v>
      </c>
      <c r="M1783" s="268">
        <f t="shared" si="237"/>
        <v>29847</v>
      </c>
      <c r="N1783" s="157">
        <f t="shared" si="239"/>
        <v>0.17431348042937406</v>
      </c>
      <c r="O1783" s="268">
        <f t="shared" si="238"/>
        <v>-10143</v>
      </c>
      <c r="P1783" s="157">
        <f t="shared" si="240"/>
        <v>-4.8021930156806301E-2</v>
      </c>
    </row>
    <row r="1784" spans="1:16">
      <c r="E1784" s="323" t="s">
        <v>47</v>
      </c>
      <c r="F1784" s="124">
        <v>97366</v>
      </c>
      <c r="G1784" s="135"/>
      <c r="H1784" s="136"/>
      <c r="I1784" s="136"/>
      <c r="J1784" s="272">
        <v>7421</v>
      </c>
      <c r="K1784" s="124">
        <f t="shared" si="236"/>
        <v>104787</v>
      </c>
      <c r="L1784" s="124">
        <v>105383</v>
      </c>
      <c r="M1784" s="124">
        <f t="shared" si="237"/>
        <v>8017</v>
      </c>
      <c r="N1784" s="270">
        <f t="shared" si="239"/>
        <v>8.2338804099993834E-2</v>
      </c>
      <c r="O1784" s="124">
        <f t="shared" si="238"/>
        <v>596</v>
      </c>
      <c r="P1784" s="270">
        <f t="shared" si="240"/>
        <v>5.687728439596515E-3</v>
      </c>
    </row>
    <row r="1785" spans="1:16">
      <c r="E1785" s="263"/>
      <c r="F1785" s="128"/>
      <c r="G1785" s="135"/>
      <c r="H1785" s="136"/>
      <c r="I1785" s="136"/>
      <c r="J1785" s="136"/>
      <c r="K1785" s="128">
        <f t="shared" si="236"/>
        <v>0</v>
      </c>
      <c r="L1785" s="128">
        <v>0</v>
      </c>
      <c r="M1785" s="128">
        <f t="shared" si="237"/>
        <v>0</v>
      </c>
      <c r="N1785" s="91"/>
      <c r="O1785" s="128">
        <f t="shared" si="238"/>
        <v>0</v>
      </c>
      <c r="P1785" s="91"/>
    </row>
    <row r="1786" spans="1:16" ht="13.8">
      <c r="A1786" s="77" t="s">
        <v>675</v>
      </c>
      <c r="B1786" s="77" t="s">
        <v>178</v>
      </c>
      <c r="E1786" s="443" t="s">
        <v>108</v>
      </c>
      <c r="F1786" s="444">
        <f>F1787</f>
        <v>1234037</v>
      </c>
      <c r="G1786" s="444">
        <f t="shared" ref="G1786:J1786" si="244">G1787</f>
        <v>0</v>
      </c>
      <c r="H1786" s="444">
        <f t="shared" si="244"/>
        <v>8551</v>
      </c>
      <c r="I1786" s="444">
        <f t="shared" si="244"/>
        <v>3500</v>
      </c>
      <c r="J1786" s="444">
        <f t="shared" si="244"/>
        <v>83258</v>
      </c>
      <c r="K1786" s="444">
        <f t="shared" si="236"/>
        <v>1329346</v>
      </c>
      <c r="L1786" s="444">
        <f>L1787</f>
        <v>1344994</v>
      </c>
      <c r="M1786" s="444">
        <f t="shared" si="237"/>
        <v>110957</v>
      </c>
      <c r="N1786" s="313">
        <f t="shared" si="239"/>
        <v>8.991383564674317E-2</v>
      </c>
      <c r="O1786" s="444">
        <f t="shared" si="238"/>
        <v>15648</v>
      </c>
      <c r="P1786" s="313">
        <f t="shared" si="240"/>
        <v>1.1771201778919859E-2</v>
      </c>
    </row>
    <row r="1787" spans="1:16" ht="26.4">
      <c r="C1787" s="537"/>
      <c r="D1787" s="537"/>
      <c r="E1787" s="449" t="s">
        <v>167</v>
      </c>
      <c r="F1787" s="419">
        <f>F1789+F1793</f>
        <v>1234037</v>
      </c>
      <c r="G1787" s="419">
        <f t="shared" ref="G1787:J1787" si="245">G1789+G1793</f>
        <v>0</v>
      </c>
      <c r="H1787" s="419">
        <f t="shared" si="245"/>
        <v>8551</v>
      </c>
      <c r="I1787" s="419">
        <f t="shared" si="245"/>
        <v>3500</v>
      </c>
      <c r="J1787" s="419">
        <f t="shared" si="245"/>
        <v>83258</v>
      </c>
      <c r="K1787" s="419">
        <f t="shared" si="236"/>
        <v>1329346</v>
      </c>
      <c r="L1787" s="419">
        <f>L1789+L1793</f>
        <v>1344994</v>
      </c>
      <c r="M1787" s="419">
        <f t="shared" si="237"/>
        <v>110957</v>
      </c>
      <c r="N1787" s="370">
        <f t="shared" si="239"/>
        <v>8.991383564674317E-2</v>
      </c>
      <c r="O1787" s="419">
        <f t="shared" si="238"/>
        <v>15648</v>
      </c>
      <c r="P1787" s="370">
        <f t="shared" si="240"/>
        <v>1.1771201778919859E-2</v>
      </c>
    </row>
    <row r="1788" spans="1:16">
      <c r="E1788" s="450" t="s">
        <v>101</v>
      </c>
      <c r="F1788" s="127"/>
      <c r="G1788" s="135"/>
      <c r="H1788" s="136"/>
      <c r="I1788" s="136"/>
      <c r="J1788" s="136"/>
      <c r="K1788" s="127">
        <f t="shared" si="236"/>
        <v>0</v>
      </c>
      <c r="L1788" s="127">
        <v>0</v>
      </c>
      <c r="M1788" s="127">
        <f t="shared" si="237"/>
        <v>0</v>
      </c>
      <c r="N1788" s="160"/>
      <c r="O1788" s="127">
        <f t="shared" si="238"/>
        <v>0</v>
      </c>
      <c r="P1788" s="160"/>
    </row>
    <row r="1789" spans="1:16">
      <c r="E1789" s="336" t="s">
        <v>580</v>
      </c>
      <c r="F1789" s="268">
        <v>393241</v>
      </c>
      <c r="G1789" s="135"/>
      <c r="H1789" s="136">
        <v>6551</v>
      </c>
      <c r="I1789" s="136"/>
      <c r="J1789" s="136">
        <v>15897</v>
      </c>
      <c r="K1789" s="268">
        <f t="shared" si="236"/>
        <v>415689</v>
      </c>
      <c r="L1789" s="268">
        <v>429299</v>
      </c>
      <c r="M1789" s="268">
        <f t="shared" si="237"/>
        <v>36058</v>
      </c>
      <c r="N1789" s="157">
        <f t="shared" si="239"/>
        <v>9.1694406229258896E-2</v>
      </c>
      <c r="O1789" s="268">
        <f t="shared" si="238"/>
        <v>13610</v>
      </c>
      <c r="P1789" s="157">
        <f t="shared" si="240"/>
        <v>3.2740823067244983E-2</v>
      </c>
    </row>
    <row r="1790" spans="1:16">
      <c r="E1790" s="323" t="s">
        <v>47</v>
      </c>
      <c r="F1790" s="124">
        <v>174294</v>
      </c>
      <c r="G1790" s="135"/>
      <c r="H1790" s="272">
        <v>4896</v>
      </c>
      <c r="I1790" s="272"/>
      <c r="J1790" s="272">
        <v>11881</v>
      </c>
      <c r="K1790" s="124">
        <f t="shared" si="236"/>
        <v>191071</v>
      </c>
      <c r="L1790" s="124">
        <v>203181</v>
      </c>
      <c r="M1790" s="124">
        <f t="shared" si="237"/>
        <v>28887</v>
      </c>
      <c r="N1790" s="270">
        <f t="shared" si="239"/>
        <v>0.16573720265757858</v>
      </c>
      <c r="O1790" s="124">
        <f t="shared" si="238"/>
        <v>12110</v>
      </c>
      <c r="P1790" s="270">
        <f t="shared" si="240"/>
        <v>6.3379581412145225E-2</v>
      </c>
    </row>
    <row r="1791" spans="1:16">
      <c r="E1791" s="60"/>
      <c r="F1791" s="76"/>
      <c r="G1791" s="135"/>
      <c r="H1791" s="136"/>
      <c r="I1791" s="136"/>
      <c r="J1791" s="136"/>
      <c r="K1791" s="76">
        <f t="shared" si="236"/>
        <v>0</v>
      </c>
      <c r="L1791" s="76">
        <v>0</v>
      </c>
      <c r="M1791" s="76">
        <f t="shared" si="237"/>
        <v>0</v>
      </c>
      <c r="N1791" s="100"/>
      <c r="O1791" s="76">
        <f t="shared" si="238"/>
        <v>0</v>
      </c>
      <c r="P1791" s="100"/>
    </row>
    <row r="1792" spans="1:16">
      <c r="E1792" s="450" t="s">
        <v>101</v>
      </c>
      <c r="F1792" s="127"/>
      <c r="G1792" s="135"/>
      <c r="H1792" s="136"/>
      <c r="I1792" s="136"/>
      <c r="J1792" s="136"/>
      <c r="K1792" s="127">
        <f t="shared" si="236"/>
        <v>0</v>
      </c>
      <c r="L1792" s="127">
        <v>0</v>
      </c>
      <c r="M1792" s="127">
        <f t="shared" si="237"/>
        <v>0</v>
      </c>
      <c r="N1792" s="160"/>
      <c r="O1792" s="127">
        <f t="shared" si="238"/>
        <v>0</v>
      </c>
      <c r="P1792" s="160"/>
    </row>
    <row r="1793" spans="1:16">
      <c r="E1793" s="337" t="s">
        <v>581</v>
      </c>
      <c r="F1793" s="291">
        <v>840796</v>
      </c>
      <c r="G1793" s="135"/>
      <c r="H1793" s="136">
        <v>2000</v>
      </c>
      <c r="I1793" s="136">
        <v>3500</v>
      </c>
      <c r="J1793" s="136">
        <v>67361</v>
      </c>
      <c r="K1793" s="291">
        <f t="shared" si="236"/>
        <v>913657</v>
      </c>
      <c r="L1793" s="291">
        <v>915695</v>
      </c>
      <c r="M1793" s="291">
        <f t="shared" si="237"/>
        <v>74899</v>
      </c>
      <c r="N1793" s="282">
        <f t="shared" si="239"/>
        <v>8.9081061280025117E-2</v>
      </c>
      <c r="O1793" s="291">
        <f t="shared" si="238"/>
        <v>2038</v>
      </c>
      <c r="P1793" s="282">
        <f t="shared" si="240"/>
        <v>2.2305963835443717E-3</v>
      </c>
    </row>
    <row r="1794" spans="1:16">
      <c r="E1794" s="446" t="s">
        <v>47</v>
      </c>
      <c r="F1794" s="125">
        <v>580209</v>
      </c>
      <c r="G1794" s="135"/>
      <c r="H1794" s="136"/>
      <c r="I1794" s="136"/>
      <c r="J1794" s="272">
        <v>50344</v>
      </c>
      <c r="K1794" s="125">
        <f t="shared" si="236"/>
        <v>630553</v>
      </c>
      <c r="L1794" s="125">
        <v>637469</v>
      </c>
      <c r="M1794" s="125">
        <f t="shared" si="237"/>
        <v>57260</v>
      </c>
      <c r="N1794" s="284">
        <f t="shared" si="239"/>
        <v>9.8688576013126306E-2</v>
      </c>
      <c r="O1794" s="125">
        <f t="shared" si="238"/>
        <v>6916</v>
      </c>
      <c r="P1794" s="284">
        <f t="shared" si="240"/>
        <v>1.0968150179287071E-2</v>
      </c>
    </row>
    <row r="1795" spans="1:16">
      <c r="E1795" s="147"/>
      <c r="F1795" s="136"/>
      <c r="G1795" s="135"/>
      <c r="H1795" s="136"/>
      <c r="I1795" s="136"/>
      <c r="J1795" s="136"/>
      <c r="K1795" s="136">
        <f t="shared" si="236"/>
        <v>0</v>
      </c>
      <c r="L1795" s="136">
        <v>0</v>
      </c>
      <c r="M1795" s="136">
        <f t="shared" si="237"/>
        <v>0</v>
      </c>
      <c r="N1795" s="157"/>
      <c r="O1795" s="136">
        <f t="shared" si="238"/>
        <v>0</v>
      </c>
      <c r="P1795" s="157"/>
    </row>
    <row r="1796" spans="1:16" ht="13.8">
      <c r="A1796" s="77" t="s">
        <v>679</v>
      </c>
      <c r="B1796" s="77" t="s">
        <v>178</v>
      </c>
      <c r="E1796" s="443" t="s">
        <v>163</v>
      </c>
      <c r="F1796" s="444">
        <f>F1797</f>
        <v>573705</v>
      </c>
      <c r="G1796" s="135"/>
      <c r="H1796" s="136"/>
      <c r="I1796" s="126">
        <f>I1797</f>
        <v>-27500</v>
      </c>
      <c r="J1796" s="136"/>
      <c r="K1796" s="444">
        <f t="shared" si="236"/>
        <v>546205</v>
      </c>
      <c r="L1796" s="444">
        <f>L1797</f>
        <v>588705</v>
      </c>
      <c r="M1796" s="444">
        <f t="shared" si="237"/>
        <v>15000</v>
      </c>
      <c r="N1796" s="313">
        <f t="shared" si="239"/>
        <v>2.6145841503908803E-2</v>
      </c>
      <c r="O1796" s="444">
        <f t="shared" si="238"/>
        <v>42500</v>
      </c>
      <c r="P1796" s="313">
        <f t="shared" si="240"/>
        <v>7.7809613606612898E-2</v>
      </c>
    </row>
    <row r="1797" spans="1:16">
      <c r="C1797" s="537" t="s">
        <v>1021</v>
      </c>
      <c r="D1797" s="537" t="s">
        <v>949</v>
      </c>
      <c r="E1797" s="339" t="s">
        <v>164</v>
      </c>
      <c r="F1797" s="123">
        <v>573705</v>
      </c>
      <c r="G1797" s="135"/>
      <c r="H1797" s="136"/>
      <c r="I1797" s="123">
        <v>-27500</v>
      </c>
      <c r="J1797" s="136"/>
      <c r="K1797" s="123">
        <f t="shared" si="236"/>
        <v>546205</v>
      </c>
      <c r="L1797" s="123">
        <v>588705</v>
      </c>
      <c r="M1797" s="123">
        <f t="shared" si="237"/>
        <v>15000</v>
      </c>
      <c r="N1797" s="160">
        <f t="shared" si="239"/>
        <v>2.6145841503908803E-2</v>
      </c>
      <c r="O1797" s="123">
        <f t="shared" si="238"/>
        <v>42500</v>
      </c>
      <c r="P1797" s="160">
        <f t="shared" si="240"/>
        <v>7.7809613606612898E-2</v>
      </c>
    </row>
    <row r="1798" spans="1:16">
      <c r="E1798" s="147"/>
      <c r="F1798" s="136"/>
      <c r="G1798" s="135"/>
      <c r="H1798" s="136"/>
      <c r="I1798" s="136"/>
      <c r="J1798" s="136"/>
      <c r="K1798" s="136">
        <f t="shared" si="236"/>
        <v>0</v>
      </c>
      <c r="L1798" s="136">
        <v>0</v>
      </c>
      <c r="M1798" s="136">
        <f t="shared" si="237"/>
        <v>0</v>
      </c>
      <c r="N1798" s="157"/>
      <c r="O1798" s="136">
        <f t="shared" si="238"/>
        <v>0</v>
      </c>
      <c r="P1798" s="157"/>
    </row>
    <row r="1799" spans="1:16">
      <c r="E1799" s="426" t="s">
        <v>102</v>
      </c>
      <c r="F1799" s="427">
        <f>F1801+F1804+F1812+F1814+F1816+F1818+F1820+F1822+F1810</f>
        <v>3832238</v>
      </c>
      <c r="G1799" s="427">
        <f t="shared" ref="G1799:H1799" si="246">G1801+G1804+G1812+G1814+G1816+G1818+G1820+G1822+G1810</f>
        <v>0</v>
      </c>
      <c r="H1799" s="427">
        <f t="shared" si="246"/>
        <v>83733</v>
      </c>
      <c r="I1799" s="427">
        <f>I1801+I1804+I1812+I1814+I1816+I1818+I1820+I1822+I1810+I1824</f>
        <v>739026</v>
      </c>
      <c r="J1799" s="427">
        <f>J1801+J1804+J1812+J1814+J1816+J1818+J1820+J1822+J1810</f>
        <v>239835</v>
      </c>
      <c r="K1799" s="427">
        <f t="shared" si="236"/>
        <v>4894832</v>
      </c>
      <c r="L1799" s="427">
        <f>L1801+L1804+L1810+L1812+L1814+L1816+L1818+L1820+L1822</f>
        <v>4450964</v>
      </c>
      <c r="M1799" s="427">
        <f t="shared" si="237"/>
        <v>618726</v>
      </c>
      <c r="N1799" s="370">
        <f t="shared" si="239"/>
        <v>0.16145291602452666</v>
      </c>
      <c r="O1799" s="427">
        <f t="shared" si="238"/>
        <v>-443868</v>
      </c>
      <c r="P1799" s="370">
        <f t="shared" si="240"/>
        <v>-9.0680946761809184E-2</v>
      </c>
    </row>
    <row r="1800" spans="1:16">
      <c r="E1800" s="426"/>
      <c r="F1800" s="427"/>
      <c r="G1800" s="135"/>
      <c r="H1800" s="136"/>
      <c r="I1800" s="136"/>
      <c r="J1800" s="136"/>
      <c r="K1800" s="427">
        <f t="shared" ref="K1800:K1847" si="247">F1800+G1800+H1800+J1800+I1800</f>
        <v>0</v>
      </c>
      <c r="L1800" s="427">
        <v>0</v>
      </c>
      <c r="M1800" s="427">
        <f t="shared" ref="M1800:M1861" si="248">L1800-F1800</f>
        <v>0</v>
      </c>
      <c r="N1800" s="370"/>
      <c r="O1800" s="427">
        <f t="shared" ref="O1800:O1861" si="249">L1800-K1800</f>
        <v>0</v>
      </c>
      <c r="P1800" s="370"/>
    </row>
    <row r="1801" spans="1:16">
      <c r="A1801" s="77" t="s">
        <v>670</v>
      </c>
      <c r="B1801" s="77" t="s">
        <v>178</v>
      </c>
      <c r="C1801" s="537"/>
      <c r="D1801" s="537"/>
      <c r="E1801" s="267" t="s">
        <v>168</v>
      </c>
      <c r="F1801" s="268">
        <v>2532160</v>
      </c>
      <c r="G1801" s="135"/>
      <c r="H1801" s="136">
        <v>62903</v>
      </c>
      <c r="I1801" s="136">
        <v>25562</v>
      </c>
      <c r="J1801" s="136">
        <v>239835</v>
      </c>
      <c r="K1801" s="268">
        <f t="shared" si="247"/>
        <v>2860460</v>
      </c>
      <c r="L1801" s="268">
        <v>2992245</v>
      </c>
      <c r="M1801" s="268">
        <f t="shared" si="248"/>
        <v>460085</v>
      </c>
      <c r="N1801" s="157">
        <f t="shared" ref="N1801:N1858" si="250">M1801/F1801</f>
        <v>0.18169665423985845</v>
      </c>
      <c r="O1801" s="268">
        <f t="shared" si="249"/>
        <v>131785</v>
      </c>
      <c r="P1801" s="157">
        <f t="shared" ref="P1801:P1858" si="251">O1801/K1801</f>
        <v>4.6071261265670557E-2</v>
      </c>
    </row>
    <row r="1802" spans="1:16">
      <c r="E1802" s="130" t="s">
        <v>47</v>
      </c>
      <c r="F1802" s="124">
        <f>1421807-23078</f>
        <v>1398729</v>
      </c>
      <c r="G1802" s="135"/>
      <c r="H1802" s="272">
        <v>67101</v>
      </c>
      <c r="I1802" s="272">
        <v>-23672</v>
      </c>
      <c r="J1802" s="272">
        <v>179249</v>
      </c>
      <c r="K1802" s="124">
        <f t="shared" si="247"/>
        <v>1621407</v>
      </c>
      <c r="L1802" s="124">
        <v>1752561</v>
      </c>
      <c r="M1802" s="124">
        <f t="shared" si="248"/>
        <v>353832</v>
      </c>
      <c r="N1802" s="270">
        <f t="shared" si="250"/>
        <v>0.25296680057394966</v>
      </c>
      <c r="O1802" s="124">
        <f t="shared" si="249"/>
        <v>131154</v>
      </c>
      <c r="P1802" s="270">
        <f t="shared" si="251"/>
        <v>8.0889005659899094E-2</v>
      </c>
    </row>
    <row r="1803" spans="1:16">
      <c r="E1803" s="271"/>
      <c r="F1803" s="128"/>
      <c r="G1803" s="135"/>
      <c r="H1803" s="136"/>
      <c r="I1803" s="136"/>
      <c r="J1803" s="135"/>
      <c r="K1803" s="128">
        <f t="shared" si="247"/>
        <v>0</v>
      </c>
      <c r="L1803" s="128">
        <v>0</v>
      </c>
      <c r="M1803" s="128">
        <f t="shared" si="248"/>
        <v>0</v>
      </c>
      <c r="N1803" s="91"/>
      <c r="O1803" s="128">
        <f t="shared" si="249"/>
        <v>0</v>
      </c>
      <c r="P1803" s="91"/>
    </row>
    <row r="1804" spans="1:16">
      <c r="E1804" s="290" t="s">
        <v>387</v>
      </c>
      <c r="F1804" s="291">
        <v>177002</v>
      </c>
      <c r="G1804" s="135"/>
      <c r="H1804" s="136"/>
      <c r="I1804" s="136"/>
      <c r="J1804" s="135"/>
      <c r="K1804" s="291">
        <f t="shared" si="247"/>
        <v>177002</v>
      </c>
      <c r="L1804" s="291">
        <v>191152</v>
      </c>
      <c r="M1804" s="291">
        <f t="shared" si="248"/>
        <v>14150</v>
      </c>
      <c r="N1804" s="282">
        <f t="shared" si="250"/>
        <v>7.9942599518649501E-2</v>
      </c>
      <c r="O1804" s="291">
        <f t="shared" si="249"/>
        <v>14150</v>
      </c>
      <c r="P1804" s="282">
        <f t="shared" si="251"/>
        <v>7.9942599518649501E-2</v>
      </c>
    </row>
    <row r="1805" spans="1:16">
      <c r="A1805" s="77" t="s">
        <v>672</v>
      </c>
      <c r="B1805" s="77" t="s">
        <v>178</v>
      </c>
      <c r="C1805" s="537"/>
      <c r="D1805" s="537"/>
      <c r="E1805" s="130" t="s">
        <v>402</v>
      </c>
      <c r="F1805" s="124">
        <v>25000</v>
      </c>
      <c r="G1805" s="135"/>
      <c r="H1805" s="136"/>
      <c r="I1805" s="136"/>
      <c r="J1805" s="135"/>
      <c r="K1805" s="124">
        <f t="shared" si="247"/>
        <v>25000</v>
      </c>
      <c r="L1805" s="124">
        <v>25000</v>
      </c>
      <c r="M1805" s="124">
        <f t="shared" si="248"/>
        <v>0</v>
      </c>
      <c r="N1805" s="270">
        <f t="shared" si="250"/>
        <v>0</v>
      </c>
      <c r="O1805" s="124">
        <f t="shared" si="249"/>
        <v>0</v>
      </c>
      <c r="P1805" s="270">
        <f t="shared" si="251"/>
        <v>0</v>
      </c>
    </row>
    <row r="1806" spans="1:16">
      <c r="A1806" s="77" t="s">
        <v>674</v>
      </c>
      <c r="B1806" s="77" t="s">
        <v>178</v>
      </c>
      <c r="C1806" s="537"/>
      <c r="D1806" s="537"/>
      <c r="E1806" s="132" t="s">
        <v>646</v>
      </c>
      <c r="F1806" s="124">
        <v>40000</v>
      </c>
      <c r="G1806" s="135"/>
      <c r="H1806" s="136"/>
      <c r="I1806" s="136"/>
      <c r="J1806" s="135"/>
      <c r="K1806" s="124">
        <f t="shared" si="247"/>
        <v>40000</v>
      </c>
      <c r="L1806" s="124">
        <v>40000</v>
      </c>
      <c r="M1806" s="124">
        <f t="shared" si="248"/>
        <v>0</v>
      </c>
      <c r="N1806" s="270">
        <f t="shared" si="250"/>
        <v>0</v>
      </c>
      <c r="O1806" s="124">
        <f t="shared" si="249"/>
        <v>0</v>
      </c>
      <c r="P1806" s="270">
        <f t="shared" si="251"/>
        <v>0</v>
      </c>
    </row>
    <row r="1807" spans="1:16">
      <c r="E1807" s="350" t="s">
        <v>47</v>
      </c>
      <c r="F1807" s="124">
        <v>4800</v>
      </c>
      <c r="G1807" s="135"/>
      <c r="H1807" s="136"/>
      <c r="I1807" s="136"/>
      <c r="J1807" s="135"/>
      <c r="K1807" s="124">
        <f t="shared" si="247"/>
        <v>4800</v>
      </c>
      <c r="L1807" s="124">
        <v>4800</v>
      </c>
      <c r="M1807" s="124">
        <f t="shared" si="248"/>
        <v>0</v>
      </c>
      <c r="N1807" s="270">
        <f t="shared" si="250"/>
        <v>0</v>
      </c>
      <c r="O1807" s="124">
        <f t="shared" si="249"/>
        <v>0</v>
      </c>
      <c r="P1807" s="270">
        <f t="shared" si="251"/>
        <v>0</v>
      </c>
    </row>
    <row r="1808" spans="1:16">
      <c r="A1808" s="77" t="s">
        <v>672</v>
      </c>
      <c r="B1808" s="77" t="s">
        <v>178</v>
      </c>
      <c r="C1808" s="537"/>
      <c r="D1808" s="537"/>
      <c r="E1808" s="132" t="s">
        <v>563</v>
      </c>
      <c r="F1808" s="124">
        <v>112002</v>
      </c>
      <c r="G1808" s="135"/>
      <c r="H1808" s="136"/>
      <c r="I1808" s="136"/>
      <c r="J1808" s="135"/>
      <c r="K1808" s="124">
        <f t="shared" si="247"/>
        <v>112002</v>
      </c>
      <c r="L1808" s="124">
        <v>126152</v>
      </c>
      <c r="M1808" s="124">
        <f t="shared" si="248"/>
        <v>14150</v>
      </c>
      <c r="N1808" s="270">
        <f t="shared" si="250"/>
        <v>0.1263370296958983</v>
      </c>
      <c r="O1808" s="124">
        <f t="shared" si="249"/>
        <v>14150</v>
      </c>
      <c r="P1808" s="270">
        <f t="shared" si="251"/>
        <v>0.1263370296958983</v>
      </c>
    </row>
    <row r="1809" spans="1:16">
      <c r="E1809" s="130"/>
      <c r="F1809" s="124"/>
      <c r="G1809" s="135"/>
      <c r="H1809" s="136"/>
      <c r="I1809" s="136"/>
      <c r="J1809" s="135"/>
      <c r="K1809" s="124">
        <f t="shared" si="247"/>
        <v>0</v>
      </c>
      <c r="L1809" s="124">
        <v>0</v>
      </c>
      <c r="M1809" s="124">
        <f t="shared" si="248"/>
        <v>0</v>
      </c>
      <c r="N1809" s="270"/>
      <c r="O1809" s="124">
        <f t="shared" si="249"/>
        <v>0</v>
      </c>
      <c r="P1809" s="270"/>
    </row>
    <row r="1810" spans="1:16">
      <c r="A1810" s="77" t="s">
        <v>672</v>
      </c>
      <c r="B1810" s="77" t="s">
        <v>178</v>
      </c>
      <c r="C1810" s="537"/>
      <c r="D1810" s="537"/>
      <c r="E1810" s="290" t="s">
        <v>141</v>
      </c>
      <c r="F1810" s="291">
        <v>8000</v>
      </c>
      <c r="G1810" s="135"/>
      <c r="H1810" s="136"/>
      <c r="I1810" s="136"/>
      <c r="J1810" s="135"/>
      <c r="K1810" s="291">
        <f t="shared" si="247"/>
        <v>8000</v>
      </c>
      <c r="L1810" s="291">
        <v>8000</v>
      </c>
      <c r="M1810" s="291">
        <f t="shared" si="248"/>
        <v>0</v>
      </c>
      <c r="N1810" s="282">
        <f t="shared" si="250"/>
        <v>0</v>
      </c>
      <c r="O1810" s="291">
        <f t="shared" si="249"/>
        <v>0</v>
      </c>
      <c r="P1810" s="282">
        <f t="shared" si="251"/>
        <v>0</v>
      </c>
    </row>
    <row r="1811" spans="1:16">
      <c r="E1811" s="290"/>
      <c r="F1811" s="291"/>
      <c r="G1811" s="135"/>
      <c r="H1811" s="136"/>
      <c r="I1811" s="136"/>
      <c r="J1811" s="135"/>
      <c r="K1811" s="291">
        <f t="shared" si="247"/>
        <v>0</v>
      </c>
      <c r="L1811" s="291">
        <v>0</v>
      </c>
      <c r="M1811" s="291">
        <f t="shared" si="248"/>
        <v>0</v>
      </c>
      <c r="N1811" s="282"/>
      <c r="O1811" s="291">
        <f t="shared" si="249"/>
        <v>0</v>
      </c>
      <c r="P1811" s="282"/>
    </row>
    <row r="1812" spans="1:16">
      <c r="A1812" s="77" t="s">
        <v>675</v>
      </c>
      <c r="B1812" s="77" t="s">
        <v>178</v>
      </c>
      <c r="C1812" s="537"/>
      <c r="D1812" s="537"/>
      <c r="E1812" s="290" t="s">
        <v>169</v>
      </c>
      <c r="F1812" s="291">
        <v>174649</v>
      </c>
      <c r="G1812" s="135"/>
      <c r="H1812" s="136"/>
      <c r="I1812" s="136"/>
      <c r="J1812" s="135"/>
      <c r="K1812" s="291">
        <f t="shared" si="247"/>
        <v>174649</v>
      </c>
      <c r="L1812" s="291">
        <v>174649</v>
      </c>
      <c r="M1812" s="291">
        <f t="shared" si="248"/>
        <v>0</v>
      </c>
      <c r="N1812" s="282">
        <f t="shared" si="250"/>
        <v>0</v>
      </c>
      <c r="O1812" s="291">
        <f t="shared" si="249"/>
        <v>0</v>
      </c>
      <c r="P1812" s="282">
        <f t="shared" si="251"/>
        <v>0</v>
      </c>
    </row>
    <row r="1813" spans="1:16">
      <c r="E1813" s="429"/>
      <c r="F1813" s="353"/>
      <c r="G1813" s="135"/>
      <c r="H1813" s="136"/>
      <c r="I1813" s="136"/>
      <c r="J1813" s="135"/>
      <c r="K1813" s="353">
        <f t="shared" si="247"/>
        <v>0</v>
      </c>
      <c r="L1813" s="353">
        <v>0</v>
      </c>
      <c r="M1813" s="353">
        <f t="shared" si="248"/>
        <v>0</v>
      </c>
      <c r="N1813" s="287"/>
      <c r="O1813" s="353">
        <f t="shared" si="249"/>
        <v>0</v>
      </c>
      <c r="P1813" s="287"/>
    </row>
    <row r="1814" spans="1:16">
      <c r="A1814" s="77" t="s">
        <v>679</v>
      </c>
      <c r="B1814" s="77" t="s">
        <v>178</v>
      </c>
      <c r="C1814" s="537" t="s">
        <v>1021</v>
      </c>
      <c r="D1814" s="537" t="s">
        <v>1007</v>
      </c>
      <c r="E1814" s="290" t="s">
        <v>165</v>
      </c>
      <c r="F1814" s="291">
        <v>222882</v>
      </c>
      <c r="G1814" s="135"/>
      <c r="H1814" s="136">
        <v>8350</v>
      </c>
      <c r="I1814" s="136">
        <v>57300</v>
      </c>
      <c r="J1814" s="135"/>
      <c r="K1814" s="291">
        <f t="shared" si="247"/>
        <v>288532</v>
      </c>
      <c r="L1814" s="291">
        <v>364293</v>
      </c>
      <c r="M1814" s="291">
        <f t="shared" si="248"/>
        <v>141411</v>
      </c>
      <c r="N1814" s="282">
        <f t="shared" si="250"/>
        <v>0.63446577112552827</v>
      </c>
      <c r="O1814" s="291">
        <f t="shared" si="249"/>
        <v>75761</v>
      </c>
      <c r="P1814" s="282">
        <f t="shared" si="251"/>
        <v>0.26257399525875813</v>
      </c>
    </row>
    <row r="1815" spans="1:16">
      <c r="E1815" s="290"/>
      <c r="F1815" s="291"/>
      <c r="G1815" s="135"/>
      <c r="H1815" s="136"/>
      <c r="I1815" s="136"/>
      <c r="J1815" s="135"/>
      <c r="K1815" s="291">
        <f t="shared" si="247"/>
        <v>0</v>
      </c>
      <c r="L1815" s="291">
        <v>0</v>
      </c>
      <c r="M1815" s="291">
        <f t="shared" si="248"/>
        <v>0</v>
      </c>
      <c r="N1815" s="282"/>
      <c r="O1815" s="291">
        <f t="shared" si="249"/>
        <v>0</v>
      </c>
      <c r="P1815" s="282"/>
    </row>
    <row r="1816" spans="1:16">
      <c r="A1816" s="77" t="s">
        <v>679</v>
      </c>
      <c r="B1816" s="77" t="s">
        <v>178</v>
      </c>
      <c r="C1816" s="537" t="s">
        <v>1021</v>
      </c>
      <c r="D1816" s="537" t="s">
        <v>1007</v>
      </c>
      <c r="E1816" s="290" t="s">
        <v>170</v>
      </c>
      <c r="F1816" s="291">
        <v>143000</v>
      </c>
      <c r="G1816" s="135"/>
      <c r="H1816" s="136">
        <v>12480</v>
      </c>
      <c r="I1816" s="136"/>
      <c r="J1816" s="135"/>
      <c r="K1816" s="291">
        <f t="shared" si="247"/>
        <v>155480</v>
      </c>
      <c r="L1816" s="291">
        <v>156080</v>
      </c>
      <c r="M1816" s="291">
        <f t="shared" si="248"/>
        <v>13080</v>
      </c>
      <c r="N1816" s="282">
        <f t="shared" si="250"/>
        <v>9.1468531468531469E-2</v>
      </c>
      <c r="O1816" s="291">
        <f t="shared" si="249"/>
        <v>600</v>
      </c>
      <c r="P1816" s="282">
        <f t="shared" si="251"/>
        <v>3.8590172369436584E-3</v>
      </c>
    </row>
    <row r="1817" spans="1:16">
      <c r="E1817" s="290"/>
      <c r="F1817" s="291"/>
      <c r="G1817" s="135"/>
      <c r="H1817" s="136"/>
      <c r="I1817" s="136"/>
      <c r="J1817" s="135"/>
      <c r="K1817" s="291">
        <f t="shared" si="247"/>
        <v>0</v>
      </c>
      <c r="L1817" s="291">
        <v>0</v>
      </c>
      <c r="M1817" s="291">
        <f t="shared" si="248"/>
        <v>0</v>
      </c>
      <c r="N1817" s="282"/>
      <c r="O1817" s="291">
        <f t="shared" si="249"/>
        <v>0</v>
      </c>
      <c r="P1817" s="282"/>
    </row>
    <row r="1818" spans="1:16">
      <c r="A1818" s="77" t="s">
        <v>678</v>
      </c>
      <c r="B1818" s="77" t="s">
        <v>178</v>
      </c>
      <c r="C1818" s="537" t="s">
        <v>1028</v>
      </c>
      <c r="D1818" s="537" t="s">
        <v>966</v>
      </c>
      <c r="E1818" s="273" t="s">
        <v>171</v>
      </c>
      <c r="F1818" s="131">
        <v>140000</v>
      </c>
      <c r="G1818" s="135"/>
      <c r="H1818" s="136"/>
      <c r="I1818" s="136"/>
      <c r="J1818" s="135"/>
      <c r="K1818" s="131">
        <f t="shared" si="247"/>
        <v>140000</v>
      </c>
      <c r="L1818" s="131">
        <v>140000</v>
      </c>
      <c r="M1818" s="131">
        <f t="shared" si="248"/>
        <v>0</v>
      </c>
      <c r="N1818" s="157">
        <f t="shared" si="250"/>
        <v>0</v>
      </c>
      <c r="O1818" s="131">
        <f t="shared" si="249"/>
        <v>0</v>
      </c>
      <c r="P1818" s="157">
        <f t="shared" si="251"/>
        <v>0</v>
      </c>
    </row>
    <row r="1819" spans="1:16">
      <c r="E1819" s="147"/>
      <c r="F1819" s="136"/>
      <c r="G1819" s="135"/>
      <c r="H1819" s="136"/>
      <c r="I1819" s="136"/>
      <c r="J1819" s="135"/>
      <c r="K1819" s="136">
        <f t="shared" si="247"/>
        <v>0</v>
      </c>
      <c r="L1819" s="136">
        <v>0</v>
      </c>
      <c r="M1819" s="136">
        <f t="shared" si="248"/>
        <v>0</v>
      </c>
      <c r="N1819" s="157"/>
      <c r="O1819" s="136">
        <f t="shared" si="249"/>
        <v>0</v>
      </c>
      <c r="P1819" s="157"/>
    </row>
    <row r="1820" spans="1:16">
      <c r="A1820" s="77" t="s">
        <v>678</v>
      </c>
      <c r="B1820" s="77" t="s">
        <v>178</v>
      </c>
      <c r="C1820" s="537" t="s">
        <v>1028</v>
      </c>
      <c r="D1820" s="537" t="s">
        <v>966</v>
      </c>
      <c r="E1820" s="273" t="s">
        <v>154</v>
      </c>
      <c r="F1820" s="131">
        <v>414545</v>
      </c>
      <c r="G1820" s="135"/>
      <c r="H1820" s="136"/>
      <c r="I1820" s="136"/>
      <c r="J1820" s="135"/>
      <c r="K1820" s="131">
        <f t="shared" si="247"/>
        <v>414545</v>
      </c>
      <c r="L1820" s="131">
        <v>414545</v>
      </c>
      <c r="M1820" s="131">
        <f t="shared" si="248"/>
        <v>0</v>
      </c>
      <c r="N1820" s="157">
        <f t="shared" si="250"/>
        <v>0</v>
      </c>
      <c r="O1820" s="131">
        <f t="shared" si="249"/>
        <v>0</v>
      </c>
      <c r="P1820" s="157">
        <f t="shared" si="251"/>
        <v>0</v>
      </c>
    </row>
    <row r="1821" spans="1:16">
      <c r="E1821" s="271"/>
      <c r="F1821" s="128"/>
      <c r="G1821" s="135"/>
      <c r="H1821" s="136"/>
      <c r="I1821" s="136"/>
      <c r="J1821" s="135"/>
      <c r="K1821" s="128">
        <f t="shared" si="247"/>
        <v>0</v>
      </c>
      <c r="L1821" s="128">
        <v>0</v>
      </c>
      <c r="M1821" s="128">
        <f t="shared" si="248"/>
        <v>0</v>
      </c>
      <c r="N1821" s="91"/>
      <c r="O1821" s="128">
        <f t="shared" si="249"/>
        <v>0</v>
      </c>
      <c r="P1821" s="91"/>
    </row>
    <row r="1822" spans="1:16">
      <c r="A1822" s="77" t="s">
        <v>692</v>
      </c>
      <c r="B1822" s="77" t="s">
        <v>178</v>
      </c>
      <c r="C1822" s="537"/>
      <c r="D1822" s="537"/>
      <c r="E1822" s="273" t="s">
        <v>172</v>
      </c>
      <c r="F1822" s="131">
        <v>20000</v>
      </c>
      <c r="G1822" s="135"/>
      <c r="H1822" s="136"/>
      <c r="I1822" s="136"/>
      <c r="J1822" s="135"/>
      <c r="K1822" s="131">
        <f t="shared" si="247"/>
        <v>20000</v>
      </c>
      <c r="L1822" s="131">
        <v>10000</v>
      </c>
      <c r="M1822" s="131">
        <f t="shared" si="248"/>
        <v>-10000</v>
      </c>
      <c r="N1822" s="157">
        <f t="shared" si="250"/>
        <v>-0.5</v>
      </c>
      <c r="O1822" s="131">
        <f t="shared" si="249"/>
        <v>-10000</v>
      </c>
      <c r="P1822" s="157">
        <f t="shared" si="251"/>
        <v>-0.5</v>
      </c>
    </row>
    <row r="1823" spans="1:16">
      <c r="C1823" s="537"/>
      <c r="D1823" s="537"/>
      <c r="E1823" s="273"/>
      <c r="F1823" s="131"/>
      <c r="G1823" s="135"/>
      <c r="H1823" s="136"/>
      <c r="I1823" s="136"/>
      <c r="J1823" s="135"/>
      <c r="K1823" s="131">
        <f t="shared" si="247"/>
        <v>0</v>
      </c>
      <c r="L1823" s="131">
        <v>0</v>
      </c>
      <c r="M1823" s="131">
        <f t="shared" si="248"/>
        <v>0</v>
      </c>
      <c r="N1823" s="157"/>
      <c r="O1823" s="131">
        <f t="shared" si="249"/>
        <v>0</v>
      </c>
      <c r="P1823" s="157"/>
    </row>
    <row r="1824" spans="1:16" ht="39.6">
      <c r="A1824" s="615" t="s">
        <v>681</v>
      </c>
      <c r="B1824" s="77" t="s">
        <v>178</v>
      </c>
      <c r="C1824" s="537"/>
      <c r="D1824" s="537"/>
      <c r="E1824" s="290" t="s">
        <v>1170</v>
      </c>
      <c r="F1824" s="131"/>
      <c r="G1824" s="135"/>
      <c r="H1824" s="136"/>
      <c r="I1824" s="136">
        <v>656164</v>
      </c>
      <c r="J1824" s="135"/>
      <c r="K1824" s="131">
        <f t="shared" si="247"/>
        <v>656164</v>
      </c>
      <c r="L1824" s="131">
        <v>0</v>
      </c>
      <c r="M1824" s="131">
        <f t="shared" si="248"/>
        <v>0</v>
      </c>
      <c r="N1824" s="157"/>
      <c r="O1824" s="131">
        <f t="shared" si="249"/>
        <v>-656164</v>
      </c>
      <c r="P1824" s="157">
        <f t="shared" si="251"/>
        <v>-1</v>
      </c>
    </row>
    <row r="1825" spans="3:16">
      <c r="C1825" s="537"/>
      <c r="D1825" s="537"/>
      <c r="E1825" s="10"/>
      <c r="F1825" s="131"/>
      <c r="G1825" s="135"/>
      <c r="H1825" s="136"/>
      <c r="I1825" s="136"/>
      <c r="J1825" s="135"/>
      <c r="K1825" s="131">
        <f t="shared" si="247"/>
        <v>0</v>
      </c>
      <c r="L1825" s="131">
        <v>0</v>
      </c>
      <c r="M1825" s="131">
        <f t="shared" si="248"/>
        <v>0</v>
      </c>
      <c r="N1825" s="157"/>
      <c r="O1825" s="131">
        <f t="shared" si="249"/>
        <v>0</v>
      </c>
      <c r="P1825" s="157"/>
    </row>
    <row r="1826" spans="3:16">
      <c r="C1826" s="537"/>
      <c r="D1826" s="537"/>
      <c r="E1826" s="294" t="s">
        <v>1171</v>
      </c>
      <c r="F1826" s="131"/>
      <c r="G1826" s="135"/>
      <c r="H1826" s="136"/>
      <c r="I1826" s="272">
        <v>528411</v>
      </c>
      <c r="J1826" s="612"/>
      <c r="K1826" s="613">
        <f t="shared" si="247"/>
        <v>528411</v>
      </c>
      <c r="L1826" s="131">
        <v>0</v>
      </c>
      <c r="M1826" s="131">
        <f t="shared" si="248"/>
        <v>0</v>
      </c>
      <c r="N1826" s="157"/>
      <c r="O1826" s="131">
        <f t="shared" si="249"/>
        <v>-528411</v>
      </c>
      <c r="P1826" s="157">
        <f t="shared" si="251"/>
        <v>-1</v>
      </c>
    </row>
    <row r="1827" spans="3:16">
      <c r="E1827" s="273"/>
      <c r="F1827" s="131"/>
      <c r="G1827" s="135"/>
      <c r="H1827" s="136"/>
      <c r="I1827" s="136"/>
      <c r="J1827" s="135"/>
      <c r="K1827" s="131">
        <f t="shared" si="247"/>
        <v>0</v>
      </c>
      <c r="L1827" s="131">
        <v>0</v>
      </c>
      <c r="M1827" s="131">
        <f t="shared" si="248"/>
        <v>0</v>
      </c>
      <c r="N1827" s="157"/>
      <c r="O1827" s="131">
        <f t="shared" si="249"/>
        <v>0</v>
      </c>
      <c r="P1827" s="157"/>
    </row>
    <row r="1828" spans="3:16">
      <c r="E1828" s="273"/>
      <c r="F1828" s="131"/>
      <c r="G1828" s="135"/>
      <c r="H1828" s="136"/>
      <c r="I1828" s="136"/>
      <c r="J1828" s="135"/>
      <c r="K1828" s="131">
        <f t="shared" si="247"/>
        <v>0</v>
      </c>
      <c r="L1828" s="131">
        <v>0</v>
      </c>
      <c r="M1828" s="131">
        <f t="shared" si="248"/>
        <v>0</v>
      </c>
      <c r="N1828" s="157"/>
      <c r="O1828" s="131">
        <f t="shared" si="249"/>
        <v>0</v>
      </c>
      <c r="P1828" s="157"/>
    </row>
    <row r="1829" spans="3:16" ht="15.6">
      <c r="E1829" s="259" t="s">
        <v>340</v>
      </c>
      <c r="F1829" s="260"/>
      <c r="G1829" s="135"/>
      <c r="H1829" s="136"/>
      <c r="I1829" s="136"/>
      <c r="J1829" s="135"/>
      <c r="K1829" s="260">
        <f t="shared" si="247"/>
        <v>0</v>
      </c>
      <c r="L1829" s="260">
        <v>0</v>
      </c>
      <c r="M1829" s="260">
        <f t="shared" si="248"/>
        <v>0</v>
      </c>
      <c r="N1829" s="275"/>
      <c r="O1829" s="260">
        <f t="shared" si="249"/>
        <v>0</v>
      </c>
      <c r="P1829" s="275"/>
    </row>
    <row r="1830" spans="3:16">
      <c r="E1830" s="273"/>
      <c r="F1830" s="131"/>
      <c r="G1830" s="135"/>
      <c r="H1830" s="136"/>
      <c r="I1830" s="136"/>
      <c r="J1830" s="135"/>
      <c r="K1830" s="131">
        <f t="shared" si="247"/>
        <v>0</v>
      </c>
      <c r="L1830" s="131">
        <v>0</v>
      </c>
      <c r="M1830" s="131">
        <f t="shared" si="248"/>
        <v>0</v>
      </c>
      <c r="N1830" s="157"/>
      <c r="O1830" s="131">
        <f t="shared" si="249"/>
        <v>0</v>
      </c>
      <c r="P1830" s="157"/>
    </row>
    <row r="1831" spans="3:16">
      <c r="E1831" s="458" t="s">
        <v>341</v>
      </c>
      <c r="F1831" s="373">
        <v>3000000</v>
      </c>
      <c r="G1831" s="135"/>
      <c r="H1831" s="136"/>
      <c r="I1831" s="136"/>
      <c r="J1831" s="135"/>
      <c r="K1831" s="373">
        <f t="shared" si="247"/>
        <v>3000000</v>
      </c>
      <c r="L1831" s="373">
        <v>5000000</v>
      </c>
      <c r="M1831" s="373">
        <f t="shared" si="248"/>
        <v>2000000</v>
      </c>
      <c r="N1831" s="160">
        <f t="shared" si="250"/>
        <v>0.66666666666666663</v>
      </c>
      <c r="O1831" s="373">
        <f t="shared" si="249"/>
        <v>2000000</v>
      </c>
      <c r="P1831" s="160">
        <f t="shared" si="251"/>
        <v>0.66666666666666663</v>
      </c>
    </row>
    <row r="1832" spans="3:16">
      <c r="E1832" s="465"/>
      <c r="F1832" s="373"/>
      <c r="G1832" s="135"/>
      <c r="H1832" s="136"/>
      <c r="I1832" s="136"/>
      <c r="J1832" s="135"/>
      <c r="K1832" s="373">
        <f t="shared" si="247"/>
        <v>0</v>
      </c>
      <c r="L1832" s="373">
        <v>0</v>
      </c>
      <c r="M1832" s="373">
        <f t="shared" si="248"/>
        <v>0</v>
      </c>
      <c r="N1832" s="160"/>
      <c r="O1832" s="373">
        <f t="shared" si="249"/>
        <v>0</v>
      </c>
      <c r="P1832" s="160"/>
    </row>
    <row r="1833" spans="3:16">
      <c r="E1833" s="458" t="s">
        <v>342</v>
      </c>
      <c r="F1833" s="373">
        <f>F1834+F1835</f>
        <v>6704000</v>
      </c>
      <c r="G1833" s="373">
        <f>G1834</f>
        <v>1500000</v>
      </c>
      <c r="H1833" s="136">
        <f>H1835</f>
        <v>-3080000</v>
      </c>
      <c r="I1833" s="373">
        <f>I1834+I1835</f>
        <v>-168533</v>
      </c>
      <c r="J1833" s="135"/>
      <c r="K1833" s="373">
        <f t="shared" si="247"/>
        <v>4955467</v>
      </c>
      <c r="L1833" s="373">
        <f>L1834+L1835</f>
        <v>4704000</v>
      </c>
      <c r="M1833" s="373">
        <f t="shared" si="248"/>
        <v>-2000000</v>
      </c>
      <c r="N1833" s="160">
        <f t="shared" si="250"/>
        <v>-0.29832935560859186</v>
      </c>
      <c r="O1833" s="373">
        <f t="shared" si="249"/>
        <v>-251467</v>
      </c>
      <c r="P1833" s="160">
        <f t="shared" si="251"/>
        <v>-5.074536870087118E-2</v>
      </c>
    </row>
    <row r="1834" spans="3:16">
      <c r="E1834" s="465" t="s">
        <v>343</v>
      </c>
      <c r="F1834" s="373">
        <f>1000000-296000</f>
        <v>704000</v>
      </c>
      <c r="G1834" s="373">
        <v>1500000</v>
      </c>
      <c r="H1834" s="136"/>
      <c r="I1834" s="136">
        <v>-40780</v>
      </c>
      <c r="J1834" s="135"/>
      <c r="K1834" s="373">
        <f t="shared" si="247"/>
        <v>2163220</v>
      </c>
      <c r="L1834" s="373">
        <v>704000</v>
      </c>
      <c r="M1834" s="373">
        <f t="shared" si="248"/>
        <v>0</v>
      </c>
      <c r="N1834" s="160">
        <f t="shared" si="250"/>
        <v>0</v>
      </c>
      <c r="O1834" s="373">
        <f t="shared" si="249"/>
        <v>-1459220</v>
      </c>
      <c r="P1834" s="160">
        <f t="shared" si="251"/>
        <v>-0.67455922190068507</v>
      </c>
    </row>
    <row r="1835" spans="3:16">
      <c r="E1835" s="465" t="s">
        <v>344</v>
      </c>
      <c r="F1835" s="373">
        <f>SUM(F1836:F1839)</f>
        <v>6000000</v>
      </c>
      <c r="G1835" s="373"/>
      <c r="H1835" s="136">
        <f>SUM(H1836:H1839)</f>
        <v>-3080000</v>
      </c>
      <c r="I1835" s="373">
        <f>SUM(I1836:I1839)</f>
        <v>-127753</v>
      </c>
      <c r="J1835" s="135"/>
      <c r="K1835" s="373">
        <f t="shared" si="247"/>
        <v>2792247</v>
      </c>
      <c r="L1835" s="136">
        <f>SUM(L1836:L1839)</f>
        <v>4000000</v>
      </c>
      <c r="M1835" s="136">
        <f t="shared" si="248"/>
        <v>-2000000</v>
      </c>
      <c r="N1835" s="157">
        <f t="shared" si="250"/>
        <v>-0.33333333333333331</v>
      </c>
      <c r="O1835" s="136">
        <f t="shared" si="249"/>
        <v>1207753</v>
      </c>
      <c r="P1835" s="157">
        <f t="shared" si="251"/>
        <v>0.43253802403583924</v>
      </c>
    </row>
    <row r="1836" spans="3:16">
      <c r="E1836" s="466" t="s">
        <v>345</v>
      </c>
      <c r="F1836" s="131">
        <v>1500000</v>
      </c>
      <c r="G1836" s="131"/>
      <c r="H1836" s="136">
        <v>-1000000</v>
      </c>
      <c r="I1836" s="136"/>
      <c r="J1836" s="135"/>
      <c r="K1836" s="131">
        <f t="shared" si="247"/>
        <v>500000</v>
      </c>
      <c r="L1836" s="131">
        <v>1000000</v>
      </c>
      <c r="M1836" s="131">
        <f t="shared" si="248"/>
        <v>-500000</v>
      </c>
      <c r="N1836" s="157">
        <f t="shared" si="250"/>
        <v>-0.33333333333333331</v>
      </c>
      <c r="O1836" s="131">
        <f t="shared" si="249"/>
        <v>500000</v>
      </c>
      <c r="P1836" s="157">
        <f t="shared" si="251"/>
        <v>1</v>
      </c>
    </row>
    <row r="1837" spans="3:16" ht="26.4">
      <c r="E1837" s="467" t="s">
        <v>1190</v>
      </c>
      <c r="F1837" s="289">
        <v>2000000</v>
      </c>
      <c r="G1837" s="289"/>
      <c r="H1837" s="136">
        <v>-1000000</v>
      </c>
      <c r="I1837" s="136"/>
      <c r="J1837" s="135"/>
      <c r="K1837" s="289">
        <f t="shared" si="247"/>
        <v>1000000</v>
      </c>
      <c r="L1837" s="289">
        <v>1000000</v>
      </c>
      <c r="M1837" s="289">
        <f t="shared" si="248"/>
        <v>-1000000</v>
      </c>
      <c r="N1837" s="282">
        <f t="shared" si="250"/>
        <v>-0.5</v>
      </c>
      <c r="O1837" s="289">
        <f t="shared" si="249"/>
        <v>0</v>
      </c>
      <c r="P1837" s="282">
        <f t="shared" si="251"/>
        <v>0</v>
      </c>
    </row>
    <row r="1838" spans="3:16" ht="39.6">
      <c r="E1838" s="467" t="s">
        <v>1228</v>
      </c>
      <c r="F1838" s="289">
        <v>1000000</v>
      </c>
      <c r="G1838" s="289"/>
      <c r="H1838" s="136"/>
      <c r="I1838" s="136"/>
      <c r="J1838" s="135"/>
      <c r="K1838" s="289">
        <f t="shared" si="247"/>
        <v>1000000</v>
      </c>
      <c r="L1838" s="289">
        <v>1000000</v>
      </c>
      <c r="M1838" s="289">
        <f t="shared" si="248"/>
        <v>0</v>
      </c>
      <c r="N1838" s="282">
        <f t="shared" si="250"/>
        <v>0</v>
      </c>
      <c r="O1838" s="289">
        <f t="shared" si="249"/>
        <v>0</v>
      </c>
      <c r="P1838" s="282">
        <f t="shared" si="251"/>
        <v>0</v>
      </c>
    </row>
    <row r="1839" spans="3:16">
      <c r="E1839" s="468" t="s">
        <v>346</v>
      </c>
      <c r="F1839" s="136">
        <v>1500000</v>
      </c>
      <c r="G1839" s="136"/>
      <c r="H1839" s="136">
        <v>-1080000</v>
      </c>
      <c r="I1839" s="136">
        <v>-127753</v>
      </c>
      <c r="J1839" s="135"/>
      <c r="K1839" s="136">
        <f t="shared" si="247"/>
        <v>292247</v>
      </c>
      <c r="L1839" s="136">
        <v>1000000</v>
      </c>
      <c r="M1839" s="136">
        <f t="shared" si="248"/>
        <v>-500000</v>
      </c>
      <c r="N1839" s="157">
        <f t="shared" si="250"/>
        <v>-0.33333333333333331</v>
      </c>
      <c r="O1839" s="136">
        <f t="shared" si="249"/>
        <v>707753</v>
      </c>
      <c r="P1839" s="157">
        <f t="shared" si="251"/>
        <v>2.421763097653697</v>
      </c>
    </row>
    <row r="1840" spans="3:16" ht="20.399999999999999">
      <c r="E1840" s="429" t="s">
        <v>347</v>
      </c>
      <c r="F1840" s="353"/>
      <c r="G1840" s="353"/>
      <c r="H1840" s="136"/>
      <c r="I1840" s="136"/>
      <c r="J1840" s="135"/>
      <c r="K1840" s="353">
        <f t="shared" si="247"/>
        <v>0</v>
      </c>
      <c r="L1840" s="353">
        <v>0</v>
      </c>
      <c r="M1840" s="353">
        <f t="shared" si="248"/>
        <v>0</v>
      </c>
      <c r="N1840" s="287"/>
      <c r="O1840" s="353">
        <f t="shared" si="249"/>
        <v>0</v>
      </c>
      <c r="P1840" s="287"/>
    </row>
    <row r="1841" spans="1:17">
      <c r="E1841" s="429"/>
      <c r="F1841" s="353"/>
      <c r="G1841" s="123"/>
      <c r="H1841" s="123"/>
      <c r="I1841" s="123"/>
      <c r="J1841" s="123"/>
      <c r="K1841" s="123">
        <f t="shared" si="247"/>
        <v>0</v>
      </c>
      <c r="L1841" s="353">
        <v>0</v>
      </c>
      <c r="M1841" s="353">
        <f t="shared" si="248"/>
        <v>0</v>
      </c>
      <c r="N1841" s="287"/>
      <c r="O1841" s="353">
        <f t="shared" si="249"/>
        <v>0</v>
      </c>
      <c r="P1841" s="287"/>
    </row>
    <row r="1842" spans="1:17">
      <c r="E1842" s="146" t="s">
        <v>645</v>
      </c>
      <c r="F1842" s="123">
        <v>6430000</v>
      </c>
      <c r="G1842" s="123">
        <v>2347170</v>
      </c>
      <c r="H1842" s="123"/>
      <c r="I1842" s="123"/>
      <c r="J1842" s="123">
        <v>-8016279</v>
      </c>
      <c r="K1842" s="123">
        <f t="shared" si="247"/>
        <v>760891</v>
      </c>
      <c r="L1842" s="123">
        <v>13750000</v>
      </c>
      <c r="M1842" s="123">
        <f t="shared" si="248"/>
        <v>7320000</v>
      </c>
      <c r="N1842" s="160">
        <f t="shared" si="250"/>
        <v>1.1384136858475895</v>
      </c>
      <c r="O1842" s="123">
        <f t="shared" si="249"/>
        <v>12989109</v>
      </c>
      <c r="P1842" s="160">
        <f t="shared" si="251"/>
        <v>17.070919487811</v>
      </c>
    </row>
    <row r="1843" spans="1:17">
      <c r="E1843" s="146"/>
      <c r="F1843" s="123"/>
      <c r="G1843" s="123"/>
      <c r="H1843" s="123"/>
      <c r="I1843" s="123"/>
      <c r="J1843" s="123"/>
      <c r="K1843" s="123">
        <f t="shared" si="247"/>
        <v>0</v>
      </c>
      <c r="L1843" s="123"/>
      <c r="M1843" s="123">
        <f t="shared" si="248"/>
        <v>0</v>
      </c>
      <c r="N1843" s="160"/>
      <c r="O1843" s="123">
        <f t="shared" si="249"/>
        <v>0</v>
      </c>
      <c r="P1843" s="160"/>
    </row>
    <row r="1844" spans="1:17">
      <c r="E1844" s="146" t="s">
        <v>1189</v>
      </c>
      <c r="F1844" s="123"/>
      <c r="G1844" s="123"/>
      <c r="H1844" s="123">
        <v>18000000</v>
      </c>
      <c r="I1844" s="123">
        <v>9000000</v>
      </c>
      <c r="J1844" s="123"/>
      <c r="K1844" s="123">
        <f t="shared" si="247"/>
        <v>27000000</v>
      </c>
      <c r="L1844" s="123">
        <v>18000000</v>
      </c>
      <c r="M1844" s="123">
        <f t="shared" si="248"/>
        <v>18000000</v>
      </c>
      <c r="N1844" s="160"/>
      <c r="O1844" s="123">
        <f t="shared" si="249"/>
        <v>-9000000</v>
      </c>
      <c r="P1844" s="160">
        <f t="shared" si="251"/>
        <v>-0.33333333333333331</v>
      </c>
    </row>
    <row r="1845" spans="1:17">
      <c r="E1845" s="458"/>
      <c r="F1845" s="353"/>
      <c r="G1845" s="135"/>
      <c r="H1845" s="136"/>
      <c r="I1845" s="136"/>
      <c r="J1845" s="135"/>
      <c r="K1845" s="353">
        <f t="shared" si="247"/>
        <v>0</v>
      </c>
      <c r="L1845" s="353"/>
      <c r="M1845" s="353">
        <f t="shared" si="248"/>
        <v>0</v>
      </c>
      <c r="N1845" s="287"/>
      <c r="O1845" s="353">
        <f t="shared" si="249"/>
        <v>0</v>
      </c>
      <c r="P1845" s="287"/>
    </row>
    <row r="1846" spans="1:17">
      <c r="E1846" s="146" t="s">
        <v>348</v>
      </c>
      <c r="F1846" s="123">
        <v>19000000</v>
      </c>
      <c r="G1846" s="135"/>
      <c r="H1846" s="136"/>
      <c r="I1846" s="136"/>
      <c r="J1846" s="135"/>
      <c r="K1846" s="123">
        <f t="shared" si="247"/>
        <v>19000000</v>
      </c>
      <c r="L1846" s="123">
        <v>19000000</v>
      </c>
      <c r="M1846" s="123">
        <f t="shared" si="248"/>
        <v>0</v>
      </c>
      <c r="N1846" s="160">
        <f t="shared" si="250"/>
        <v>0</v>
      </c>
      <c r="O1846" s="123">
        <f t="shared" si="249"/>
        <v>0</v>
      </c>
      <c r="P1846" s="160">
        <f t="shared" si="251"/>
        <v>0</v>
      </c>
    </row>
    <row r="1847" spans="1:17">
      <c r="E1847" s="146"/>
      <c r="F1847" s="123"/>
      <c r="G1847" s="135"/>
      <c r="H1847" s="136"/>
      <c r="I1847" s="136"/>
      <c r="J1847" s="135"/>
      <c r="K1847" s="123">
        <f t="shared" si="247"/>
        <v>0</v>
      </c>
      <c r="L1847" s="123">
        <v>0</v>
      </c>
      <c r="M1847" s="123">
        <f t="shared" si="248"/>
        <v>0</v>
      </c>
      <c r="N1847" s="160"/>
      <c r="O1847" s="123">
        <f t="shared" si="249"/>
        <v>0</v>
      </c>
      <c r="P1847" s="160"/>
    </row>
    <row r="1848" spans="1:17" ht="15.6">
      <c r="A1848" s="155"/>
      <c r="E1848" s="469" t="s">
        <v>13</v>
      </c>
      <c r="F1848" s="470">
        <f t="shared" ref="F1848:L1848" si="252">SUMIF($E$1:$E$1842,$E$1762,F$1:F$1842)+F1831+F1833+F1842+F1846+F1844</f>
        <v>746450426</v>
      </c>
      <c r="G1848" s="470">
        <f t="shared" si="252"/>
        <v>9843000</v>
      </c>
      <c r="H1848" s="470">
        <f t="shared" si="252"/>
        <v>34598187</v>
      </c>
      <c r="I1848" s="470">
        <f t="shared" si="252"/>
        <v>38216810</v>
      </c>
      <c r="J1848" s="470">
        <f t="shared" si="252"/>
        <v>0</v>
      </c>
      <c r="K1848" s="470">
        <f t="shared" si="252"/>
        <v>829108423</v>
      </c>
      <c r="L1848" s="470">
        <f t="shared" si="252"/>
        <v>902090492</v>
      </c>
      <c r="M1848" s="470">
        <f t="shared" si="248"/>
        <v>155640066</v>
      </c>
      <c r="N1848" s="275">
        <f t="shared" si="250"/>
        <v>0.20850690223867593</v>
      </c>
      <c r="O1848" s="470">
        <f t="shared" si="249"/>
        <v>72982069</v>
      </c>
      <c r="P1848" s="275">
        <f t="shared" si="251"/>
        <v>8.8024758855935539E-2</v>
      </c>
    </row>
    <row r="1849" spans="1:17">
      <c r="E1849" s="130" t="s">
        <v>47</v>
      </c>
      <c r="F1849" s="124">
        <f ca="1">SUMIF($E$1:F$1842,$E$15,F$1:F$1842)-F193-F212-F262-F269-F371-F522-F668-F686-F688-F690-F704-F730-F762-F764-F798-F1148-F1169-F1181-F359-F546-F394-F396-F327-F340-F351-F366-F363-F473-F481-F495-F502-F509-F518-F1141-F1643-F1775-F488-F1374-F715</f>
        <v>250704505</v>
      </c>
      <c r="G1849" s="124">
        <f ca="1">SUMIF($E$1:G$1842,$E$15,G$1:G$1842)-G193-G212-G262-G269-G371-G522-G668-G686-G688-G690-G704-G730-G762-G764-G798-G1148-G1169-G1181-G359-G546-G394-G396-G327-G340-G351-G366-G363-G473-G481-G495-G502-G509-G518-G1141-G1643-G1775-G488-G1374-G715</f>
        <v>2239020</v>
      </c>
      <c r="H1849" s="124">
        <f ca="1">SUMIF($E$1:H$1842,$E$15,H$1:H$1842)-H193-H212-H262-H269-H371-H522-H668-H686-H688-H690-H704-H730-H762-H764-H798-H1148-H1169-H1181-H359-H546-H394-H396-H327-H340-H351-H366-H363-H473-H481-H495-H502-H509-H518-H1141-H1643-H1775-H488-H1374-H715</f>
        <v>3588340</v>
      </c>
      <c r="I1849" s="124">
        <f ca="1">SUMIF($E$1:I$1842,$E$15,I$1:I$1842)-I193-I212-I262-I269-I371-I522-I668-I686-I688-I690-I704-I730-I762-I764-I798-I1148-I1169-I1181-I359-I546-I394-I396-I327-I340-I351-I366-I363-I473-I481-I495-I502-I509-I518-I1141-I1643-I1775-I488-I1374-I715</f>
        <v>1604964</v>
      </c>
      <c r="J1849" s="124">
        <f ca="1">SUMIF($E$1:J$1842,$E$15,J$1:J$1842)-J193-J212-J262-J269-J371-J522-J668-J686-J688-J690-J704-J730-J762-J764-J798-J1148-J1169-J1181-J359-J546-J394-J396-J327-J340-J351-J366-J363-J473-J481-J495-J502-J509-J518-J1141-J1643-J1775-J488-J1374-J715</f>
        <v>5991236</v>
      </c>
      <c r="K1849" s="124">
        <f ca="1">SUMIF($E$1:K$1842,$E$15,K$1:K$1842)-K193-K212-K262-K269-K371-K522-K668-K686-K688-K690-K704-K730-K762-K764-K798-K1148-K1169-K1181-K359-K546-K394-K396-K327-K340-K351-K366-K363-K473-K481-K495-K502-K509-K518-K1141-K1643-K1775-K488-K1374-K715</f>
        <v>264128065</v>
      </c>
      <c r="L1849" s="124">
        <f ca="1">SUMIF($E$1:L$1842,$E$15,L$1:L$1842)-L193-L212-L262-L269-L371-L522-L668-L686-L688-L690-L704-L730-L762-L764-L798-L1148-L1169-L1181-L359-L546-L394-L396-L327-L340-L351-L366-L363-L473-L481-L495-L502-L509-L518-L1141-L1643-L1775-L488-L1374-L715</f>
        <v>305247683.19999999</v>
      </c>
      <c r="M1849" s="124">
        <f t="shared" ca="1" si="248"/>
        <v>54543178.199999988</v>
      </c>
      <c r="N1849" s="270">
        <f t="shared" ca="1" si="250"/>
        <v>0.21755962542436158</v>
      </c>
      <c r="O1849" s="124">
        <f t="shared" ca="1" si="249"/>
        <v>41119618.199999988</v>
      </c>
      <c r="P1849" s="270">
        <f t="shared" ca="1" si="251"/>
        <v>0.15568060970726449</v>
      </c>
      <c r="Q1849" s="18"/>
    </row>
    <row r="1850" spans="1:17">
      <c r="E1850" s="471" t="s">
        <v>359</v>
      </c>
      <c r="F1850" s="414">
        <f ca="1">SUMIF($E$1:F$1842,$E$1850,F$1:F$1842)</f>
        <v>45936610</v>
      </c>
      <c r="G1850" s="414">
        <f ca="1">SUMIF($E$1:G$1842,$E$1850,G$1:G$1842)</f>
        <v>0</v>
      </c>
      <c r="H1850" s="414">
        <f ca="1">SUMIF($E$1:H$1842,$E$1850,H$1:H$1842)</f>
        <v>929100</v>
      </c>
      <c r="I1850" s="414">
        <f ca="1">SUMIF($E$1:I$1842,$E$1850,I$1:I$1842)</f>
        <v>471450</v>
      </c>
      <c r="J1850" s="414">
        <f ca="1">SUMIF($E$1:J$1842,$E$1850,J$1:J$1842)</f>
        <v>0</v>
      </c>
      <c r="K1850" s="414">
        <f ca="1">SUMIF($E$1:K$1842,$E$1850,K$1:K$1842)</f>
        <v>47337160</v>
      </c>
      <c r="L1850" s="414">
        <f ca="1">SUMIF($E$1:L$1842,$E$1850,L$1:L$1842)</f>
        <v>47902349</v>
      </c>
      <c r="M1850" s="414">
        <f t="shared" ca="1" si="248"/>
        <v>1965739</v>
      </c>
      <c r="N1850" s="405">
        <f t="shared" ca="1" si="250"/>
        <v>4.2792426345783896E-2</v>
      </c>
      <c r="O1850" s="414">
        <f t="shared" ca="1" si="249"/>
        <v>565189</v>
      </c>
      <c r="P1850" s="405">
        <f t="shared" ca="1" si="251"/>
        <v>1.19396474144203E-2</v>
      </c>
      <c r="Q1850" s="18"/>
    </row>
    <row r="1851" spans="1:17">
      <c r="E1851" s="10"/>
      <c r="F1851" s="136"/>
      <c r="G1851" s="136"/>
      <c r="H1851" s="136"/>
      <c r="I1851" s="136"/>
      <c r="J1851" s="136"/>
      <c r="K1851" s="136"/>
      <c r="L1851" s="136"/>
      <c r="M1851" s="136">
        <f t="shared" si="248"/>
        <v>0</v>
      </c>
      <c r="N1851" s="157"/>
      <c r="O1851" s="136">
        <f t="shared" si="249"/>
        <v>0</v>
      </c>
      <c r="P1851" s="157"/>
      <c r="Q1851" s="18"/>
    </row>
    <row r="1852" spans="1:17" ht="15.6">
      <c r="E1852" s="472" t="s">
        <v>44</v>
      </c>
      <c r="F1852" s="260">
        <f ca="1">SUMIF($E$1:F$1842,$E$1852,F$1:F$1842)+F1831+F1833+F1842+F1846+F1844</f>
        <v>746450426</v>
      </c>
      <c r="G1852" s="260">
        <f ca="1">SUMIF($E$1:G$1842,$E$1852,G$1:G$1842)+G1831+G1833+G1842+G1846+G1844</f>
        <v>9843000</v>
      </c>
      <c r="H1852" s="260">
        <f ca="1">SUMIF($E$1:H$1842,$E$1852,H$1:H$1842)+H1831+H1833+H1842+H1846+H1844</f>
        <v>34598187</v>
      </c>
      <c r="I1852" s="260">
        <f ca="1">SUMIF($E$1:I$1842,$E$1852,I$1:I$1842)+I1831+I1833+I1842+I1846+I1844</f>
        <v>38216810</v>
      </c>
      <c r="J1852" s="260">
        <f ca="1">SUMIF($E$1:J$1842,$E$1852,J$1:J$1842)+J1831+J1833+J1842+J1846+J1844</f>
        <v>0</v>
      </c>
      <c r="K1852" s="260">
        <f ca="1">SUMIF($E$1:K$1842,$E$1852,K$1:K$1842)+K1831+K1833+K1842+K1846+K1844</f>
        <v>829108423</v>
      </c>
      <c r="L1852" s="260">
        <f ca="1">SUMIF($E$1:L$1842,$E$1852,L$1:L$1842)+L1831+L1833+L1842+L1846+L1844</f>
        <v>902090492</v>
      </c>
      <c r="M1852" s="260">
        <f t="shared" ca="1" si="248"/>
        <v>155640066</v>
      </c>
      <c r="N1852" s="275">
        <f t="shared" ca="1" si="250"/>
        <v>0.20850690223867593</v>
      </c>
      <c r="O1852" s="260">
        <f t="shared" ca="1" si="249"/>
        <v>72982069</v>
      </c>
      <c r="P1852" s="275">
        <f t="shared" ca="1" si="251"/>
        <v>8.8024758855935539E-2</v>
      </c>
      <c r="Q1852" s="635"/>
    </row>
    <row r="1853" spans="1:17">
      <c r="E1853" s="473" t="s">
        <v>45</v>
      </c>
      <c r="F1853" s="128">
        <f ca="1">SUMIF($E$1:F$1842,$E$1853,F$1:F$1842)</f>
        <v>88830470</v>
      </c>
      <c r="G1853" s="128">
        <f ca="1">SUMIF($E$1:G$1842,$E$1853,G$1:G$1842)</f>
        <v>0</v>
      </c>
      <c r="H1853" s="128">
        <f ca="1">SUMIF($E$1:H$1842,$E$1853,H$1:H$1842)</f>
        <v>4865925</v>
      </c>
      <c r="I1853" s="128">
        <f ca="1">SUMIF($E$1:I$1842,$E$1853,I$1:I$1842)</f>
        <v>4962164</v>
      </c>
      <c r="J1853" s="128">
        <f ca="1">SUMIF($E$1:J$1842,$E$1853,J$1:J$1842)</f>
        <v>0</v>
      </c>
      <c r="K1853" s="128">
        <f ca="1">SUMIF($E$1:K$1842,$E$1853,K$1:K$1842)</f>
        <v>98658559</v>
      </c>
      <c r="L1853" s="128">
        <f ca="1">SUMIF($E$1:L$1842,$E$1853,L$1:L$1842)</f>
        <v>95024089</v>
      </c>
      <c r="M1853" s="128">
        <f t="shared" ca="1" si="248"/>
        <v>6193619</v>
      </c>
      <c r="N1853" s="91">
        <f t="shared" ca="1" si="250"/>
        <v>6.9724037258836968E-2</v>
      </c>
      <c r="O1853" s="128">
        <f t="shared" ca="1" si="249"/>
        <v>-3634470</v>
      </c>
      <c r="P1853" s="91">
        <f t="shared" ca="1" si="251"/>
        <v>-3.683887172931443E-2</v>
      </c>
      <c r="Q1853" s="635"/>
    </row>
    <row r="1854" spans="1:17">
      <c r="E1854" s="474" t="s">
        <v>33</v>
      </c>
      <c r="F1854" s="128">
        <f ca="1">SUMIF($E$1:F$1842,$E$1854,F$1:F$1842)</f>
        <v>4377954</v>
      </c>
      <c r="G1854" s="128">
        <f ca="1">SUMIF($E$1:G$1842,$E$1854,G$1:G$1842)</f>
        <v>0</v>
      </c>
      <c r="H1854" s="128">
        <f ca="1">SUMIF($E$1:H$1842,$E$1854,H$1:H$1842)</f>
        <v>956919</v>
      </c>
      <c r="I1854" s="128">
        <f ca="1">SUMIF($E$1:I$1842,$E$1854,I$1:I$1842)</f>
        <v>724201</v>
      </c>
      <c r="J1854" s="128">
        <f ca="1">SUMIF($E$1:J$1842,$E$1854,J$1:J$1842)</f>
        <v>0</v>
      </c>
      <c r="K1854" s="128">
        <f ca="1">SUMIF($E$1:K$1842,$E$1854,K$1:K$1842)</f>
        <v>6059074</v>
      </c>
      <c r="L1854" s="128">
        <f ca="1">SUMIF($E$1:L$1842,$E$1854,L$1:L$1842)</f>
        <v>2241600</v>
      </c>
      <c r="M1854" s="128">
        <f t="shared" ca="1" si="248"/>
        <v>-2136354</v>
      </c>
      <c r="N1854" s="91">
        <f t="shared" ca="1" si="250"/>
        <v>-0.48798000161719379</v>
      </c>
      <c r="O1854" s="128">
        <f t="shared" ca="1" si="249"/>
        <v>-3817474</v>
      </c>
      <c r="P1854" s="91">
        <f t="shared" ca="1" si="251"/>
        <v>-0.63004247843812433</v>
      </c>
      <c r="Q1854" s="635"/>
    </row>
    <row r="1855" spans="1:17">
      <c r="E1855" s="263" t="s">
        <v>506</v>
      </c>
      <c r="F1855" s="128">
        <f ca="1">SUMIF($E$1:F$1842,$E$1855,F$1:F$1842)</f>
        <v>9223</v>
      </c>
      <c r="G1855" s="128">
        <f ca="1">SUMIF($E$1:G$1842,$E$1855,G$1:G$1842)</f>
        <v>0</v>
      </c>
      <c r="H1855" s="128">
        <f ca="1">SUMIF($E$1:H$1842,$E$1855,H$1:H$1842)</f>
        <v>0</v>
      </c>
      <c r="I1855" s="128">
        <f ca="1">SUMIF($E$1:I$1842,$E$1855,I$1:I$1842)</f>
        <v>0</v>
      </c>
      <c r="J1855" s="128">
        <f ca="1">SUMIF($E$1:J$1842,$E$1855,J$1:J$1842)</f>
        <v>0</v>
      </c>
      <c r="K1855" s="128">
        <f ca="1">SUMIF($E$1:K$1842,$E$1855,K$1:K$1842)</f>
        <v>9223</v>
      </c>
      <c r="L1855" s="128">
        <f ca="1">SUMIF($E$1:L$1842,$E$1855,L$1:L$1842)</f>
        <v>1684</v>
      </c>
      <c r="M1855" s="128">
        <f t="shared" ca="1" si="248"/>
        <v>-7539</v>
      </c>
      <c r="N1855" s="91">
        <f t="shared" ca="1" si="250"/>
        <v>-0.81741298926596551</v>
      </c>
      <c r="O1855" s="128">
        <f t="shared" ca="1" si="249"/>
        <v>-7539</v>
      </c>
      <c r="P1855" s="91">
        <f t="shared" ca="1" si="251"/>
        <v>-0.81741298926596551</v>
      </c>
      <c r="Q1855" s="635"/>
    </row>
    <row r="1856" spans="1:17">
      <c r="E1856" s="474" t="s">
        <v>0</v>
      </c>
      <c r="F1856" s="128">
        <f ca="1">SUMIF($E$1:F$1842,$E$1856,F$1:F$1842)+F1846</f>
        <v>138017878</v>
      </c>
      <c r="G1856" s="128">
        <f ca="1">SUMIF($E$1:G$1842,$E$1856,G$1:G$1842)+G1846</f>
        <v>0</v>
      </c>
      <c r="H1856" s="128">
        <f ca="1">SUMIF($E$1:H$1842,$E$1856,H$1:H$1842)+H1846</f>
        <v>6459555</v>
      </c>
      <c r="I1856" s="128">
        <f ca="1">SUMIF($E$1:I$1842,$E$1856,I$1:I$1842)+I1846</f>
        <v>4483848</v>
      </c>
      <c r="J1856" s="128">
        <f ca="1">SUMIF($E$1:J$1842,$E$1856,J$1:J$1842)+J1846</f>
        <v>0</v>
      </c>
      <c r="K1856" s="128">
        <f ca="1">SUMIF($E$1:K$1842,$E$1856,K$1:K$1842)+K1846</f>
        <v>148961281</v>
      </c>
      <c r="L1856" s="128">
        <f ca="1">SUMIF($E$1:L$1842,$E$1856,L$1:L$1842)+L1846</f>
        <v>165055721</v>
      </c>
      <c r="M1856" s="128">
        <f t="shared" ca="1" si="248"/>
        <v>27037843</v>
      </c>
      <c r="N1856" s="91">
        <f t="shared" ca="1" si="250"/>
        <v>0.19590101943169999</v>
      </c>
      <c r="O1856" s="128">
        <f t="shared" ca="1" si="249"/>
        <v>16094440</v>
      </c>
      <c r="P1856" s="91">
        <f t="shared" ca="1" si="251"/>
        <v>0.10804445216874847</v>
      </c>
      <c r="Q1856" s="635"/>
    </row>
    <row r="1857" spans="5:17">
      <c r="E1857" s="474" t="s">
        <v>896</v>
      </c>
      <c r="F1857" s="128">
        <f ca="1">SUMIF($E$1:F$1842,$E$1857,F$1:F$1842)</f>
        <v>225052</v>
      </c>
      <c r="G1857" s="128">
        <f ca="1">SUMIF($E$1:G$1842,$E$1857,G$1:G$1842)</f>
        <v>0</v>
      </c>
      <c r="H1857" s="128">
        <f ca="1">SUMIF($E$1:H$1842,$E$1857,H$1:H$1842)</f>
        <v>0</v>
      </c>
      <c r="I1857" s="128">
        <f ca="1">SUMIF($E$1:I$1842,$E$1857,I$1:I$1842)</f>
        <v>30105</v>
      </c>
      <c r="J1857" s="128">
        <f ca="1">SUMIF($E$1:J$1842,$E$1857,J$1:J$1842)</f>
        <v>0</v>
      </c>
      <c r="K1857" s="128">
        <f ca="1">SUMIF($E$1:K$1842,$E$1857,K$1:K$1842)</f>
        <v>255157</v>
      </c>
      <c r="L1857" s="128">
        <f ca="1">SUMIF($E$1:L$1842,$E$1857,L$1:L$1842)</f>
        <v>49800</v>
      </c>
      <c r="M1857" s="128">
        <f t="shared" ca="1" si="248"/>
        <v>-175252</v>
      </c>
      <c r="N1857" s="91">
        <f t="shared" ca="1" si="250"/>
        <v>-0.77871780744005825</v>
      </c>
      <c r="O1857" s="128">
        <f t="shared" ca="1" si="249"/>
        <v>-205357</v>
      </c>
      <c r="P1857" s="91">
        <f t="shared" ca="1" si="251"/>
        <v>-0.80482604827615933</v>
      </c>
      <c r="Q1857" s="635"/>
    </row>
    <row r="1858" spans="5:17">
      <c r="E1858" s="474" t="s">
        <v>46</v>
      </c>
      <c r="F1858" s="128">
        <f ca="1">SUMIF($E$1:F$1842,$E$1858,F$1:F$1842)+F1831+F1833+F1842+F1844</f>
        <v>514989849</v>
      </c>
      <c r="G1858" s="128">
        <f ca="1">SUMIF($E$1:G$1842,$E$1858,G$1:G$1842)+G1831+G1833+G1842+G1844</f>
        <v>9843000</v>
      </c>
      <c r="H1858" s="128">
        <f ca="1">SUMIF($E$1:H$1842,$E$1858,H$1:H$1842)+H1831+H1833+H1842+H1844</f>
        <v>22315788</v>
      </c>
      <c r="I1858" s="128">
        <f ca="1">SUMIF($E$1:I$1842,$E$1858,I$1:I$1842)+I1831+I1833+I1842+I1844</f>
        <v>28016492</v>
      </c>
      <c r="J1858" s="128">
        <f ca="1">SUMIF($E$1:J$1842,$E$1858,J$1:J$1842)+J1831+J1833+J1842+J1844</f>
        <v>0</v>
      </c>
      <c r="K1858" s="128">
        <f ca="1">SUMIF($E$1:K$1842,$E$1858,K$1:K$1842)+K1831+K1833+K1842+K1844</f>
        <v>575165129</v>
      </c>
      <c r="L1858" s="128">
        <f ca="1">SUMIF($E$1:L$1842,$E$1858,L$1:L$1842)+L1831+L1833+L1842+L1844</f>
        <v>639717598</v>
      </c>
      <c r="M1858" s="128">
        <f t="shared" ca="1" si="248"/>
        <v>124727749</v>
      </c>
      <c r="N1858" s="91">
        <f t="shared" ca="1" si="250"/>
        <v>0.24219457770321992</v>
      </c>
      <c r="O1858" s="128">
        <f t="shared" ca="1" si="249"/>
        <v>64552469</v>
      </c>
      <c r="P1858" s="91">
        <f t="shared" ca="1" si="251"/>
        <v>0.11223293232716131</v>
      </c>
      <c r="Q1858" s="635"/>
    </row>
    <row r="1859" spans="5:17">
      <c r="E1859" s="196"/>
      <c r="F1859" s="136">
        <f ca="1">SUM(F1853:F1858)-F1852</f>
        <v>0</v>
      </c>
      <c r="G1859" s="136">
        <f t="shared" ref="G1859:L1859" ca="1" si="253">SUM(G1853:G1858)-G1852</f>
        <v>0</v>
      </c>
      <c r="H1859" s="136">
        <f t="shared" ca="1" si="253"/>
        <v>0</v>
      </c>
      <c r="I1859" s="136">
        <f t="shared" ca="1" si="253"/>
        <v>0</v>
      </c>
      <c r="J1859" s="136">
        <f t="shared" ca="1" si="253"/>
        <v>0</v>
      </c>
      <c r="K1859" s="136">
        <f t="shared" ca="1" si="253"/>
        <v>0</v>
      </c>
      <c r="L1859" s="136">
        <f t="shared" ca="1" si="253"/>
        <v>0</v>
      </c>
      <c r="M1859" s="136">
        <f t="shared" ca="1" si="248"/>
        <v>0</v>
      </c>
      <c r="N1859" s="157"/>
      <c r="O1859" s="136">
        <f t="shared" ca="1" si="249"/>
        <v>0</v>
      </c>
      <c r="P1859" s="157"/>
    </row>
    <row r="1860" spans="5:17">
      <c r="E1860" s="14"/>
      <c r="F1860" s="136">
        <f ca="1">F1848-F1852</f>
        <v>0</v>
      </c>
      <c r="G1860" s="136">
        <f t="shared" ref="G1860:L1860" ca="1" si="254">G1848-G1852</f>
        <v>0</v>
      </c>
      <c r="H1860" s="136">
        <f t="shared" ca="1" si="254"/>
        <v>0</v>
      </c>
      <c r="I1860" s="136">
        <f t="shared" ca="1" si="254"/>
        <v>0</v>
      </c>
      <c r="J1860" s="136">
        <f t="shared" ca="1" si="254"/>
        <v>0</v>
      </c>
      <c r="K1860" s="136">
        <f t="shared" ca="1" si="254"/>
        <v>0</v>
      </c>
      <c r="L1860" s="136">
        <f t="shared" ca="1" si="254"/>
        <v>0</v>
      </c>
      <c r="M1860" s="136">
        <f t="shared" ca="1" si="248"/>
        <v>0</v>
      </c>
      <c r="N1860" s="157"/>
      <c r="O1860" s="136">
        <f t="shared" ca="1" si="249"/>
        <v>0</v>
      </c>
      <c r="P1860" s="157"/>
    </row>
    <row r="1861" spans="5:17">
      <c r="E1861" s="14"/>
      <c r="F1861" s="136"/>
      <c r="G1861" s="136"/>
      <c r="H1861" s="136"/>
      <c r="I1861" s="136"/>
      <c r="J1861" s="136"/>
      <c r="K1861" s="136"/>
      <c r="L1861" s="136"/>
      <c r="M1861" s="136">
        <f t="shared" si="248"/>
        <v>0</v>
      </c>
      <c r="N1861" s="157"/>
      <c r="O1861" s="136">
        <f t="shared" si="249"/>
        <v>0</v>
      </c>
      <c r="P1861" s="157"/>
    </row>
    <row r="1862" spans="5:17">
      <c r="E1862" s="147" t="s">
        <v>694</v>
      </c>
      <c r="F1862" s="136">
        <f ca="1">SUMIF($A$1:F$1858,$E1862,F$1:F$1858)</f>
        <v>2057586</v>
      </c>
      <c r="G1862" s="136">
        <f ca="1">SUMIF($A$1:G$1858,$E1862,G$1:G$1858)</f>
        <v>0</v>
      </c>
      <c r="H1862" s="136">
        <f ca="1">SUMIF($A$1:H$1858,$E1862,H$1:H$1858)</f>
        <v>141356</v>
      </c>
      <c r="I1862" s="136">
        <f ca="1">SUMIF($A$1:I$1858,$E1862,I$1:I$1858)</f>
        <v>-2646</v>
      </c>
      <c r="J1862" s="136">
        <f ca="1">SUMIF($A$1:J$1858,$E1862,J$1:J$1858)</f>
        <v>0</v>
      </c>
      <c r="K1862" s="136">
        <f ca="1">SUMIF($A$1:K$1858,$E1862,K$1:K$1858)</f>
        <v>2196296</v>
      </c>
      <c r="L1862" s="136">
        <f ca="1">SUMIF($A$1:L$1858,$E1862,L$1:L$1858)</f>
        <v>2414391</v>
      </c>
      <c r="M1862" s="136">
        <f t="shared" ref="M1862:M1925" ca="1" si="255">L1862-F1862</f>
        <v>356805</v>
      </c>
      <c r="N1862" s="157">
        <f t="shared" ref="N1862:N1925" ca="1" si="256">M1862/F1862</f>
        <v>0.1734095196992981</v>
      </c>
      <c r="O1862" s="136">
        <f t="shared" ref="O1862:O1925" ca="1" si="257">L1862-K1862</f>
        <v>218095</v>
      </c>
      <c r="P1862" s="157">
        <f t="shared" ref="P1862:P1925" ca="1" si="258">O1862/K1862</f>
        <v>9.930127815194309E-2</v>
      </c>
    </row>
    <row r="1863" spans="5:17">
      <c r="E1863" s="147" t="s">
        <v>380</v>
      </c>
      <c r="F1863" s="136">
        <f ca="1">SUMIF($A$1:F$1858,$E1863,F$1:F$1858)</f>
        <v>55920871</v>
      </c>
      <c r="G1863" s="136">
        <f ca="1">SUMIF($A$1:G$1858,$E1863,G$1:G$1858)</f>
        <v>0</v>
      </c>
      <c r="H1863" s="136">
        <f ca="1">SUMIF($A$1:H$1858,$E1863,H$1:H$1858)</f>
        <v>73867</v>
      </c>
      <c r="I1863" s="136">
        <f ca="1">SUMIF($A$1:I$1858,$E1863,I$1:I$1858)</f>
        <v>-522842</v>
      </c>
      <c r="J1863" s="136">
        <f ca="1">SUMIF($A$1:J$1858,$E1863,J$1:J$1858)</f>
        <v>3014580</v>
      </c>
      <c r="K1863" s="136">
        <f ca="1">SUMIF($A$1:K$1858,$E1863,K$1:K$1858)</f>
        <v>58486476</v>
      </c>
      <c r="L1863" s="136">
        <f ca="1">SUMIF($A$1:L$1858,$E1863,L$1:L$1858)</f>
        <v>60960046</v>
      </c>
      <c r="M1863" s="136">
        <f t="shared" ca="1" si="255"/>
        <v>5039175</v>
      </c>
      <c r="N1863" s="157">
        <f t="shared" ca="1" si="256"/>
        <v>9.0112598568073091E-2</v>
      </c>
      <c r="O1863" s="136">
        <f t="shared" ca="1" si="257"/>
        <v>2473570</v>
      </c>
      <c r="P1863" s="157">
        <f t="shared" ca="1" si="258"/>
        <v>4.2293025143111715E-2</v>
      </c>
    </row>
    <row r="1864" spans="5:17">
      <c r="E1864" s="147" t="s">
        <v>371</v>
      </c>
      <c r="F1864" s="136">
        <f ca="1">SUMIF($A$1:F$1858,$E1864,F$1:F$1858)</f>
        <v>291996735</v>
      </c>
      <c r="G1864" s="136">
        <f ca="1">SUMIF($A$1:G$1858,$E1864,G$1:G$1858)</f>
        <v>2995830</v>
      </c>
      <c r="H1864" s="136">
        <f ca="1">SUMIF($A$1:H$1858,$E1864,H$1:H$1858)</f>
        <v>2106348</v>
      </c>
      <c r="I1864" s="136">
        <f ca="1">SUMIF($A$1:I$1858,$E1864,I$1:I$1858)</f>
        <v>4750284</v>
      </c>
      <c r="J1864" s="136">
        <f ca="1">SUMIF($A$1:J$1858,$E1864,J$1:J$1858)</f>
        <v>154050</v>
      </c>
      <c r="K1864" s="136">
        <f ca="1">SUMIF($A$1:K$1858,$E1864,K$1:K$1858)</f>
        <v>302003247</v>
      </c>
      <c r="L1864" s="136">
        <f ca="1">SUMIF($A$1:L$1858,$E1864,L$1:L$1858)</f>
        <v>353350796</v>
      </c>
      <c r="M1864" s="136">
        <f t="shared" ca="1" si="255"/>
        <v>61354061</v>
      </c>
      <c r="N1864" s="157">
        <f t="shared" ca="1" si="256"/>
        <v>0.21011899670727482</v>
      </c>
      <c r="O1864" s="136">
        <f t="shared" ca="1" si="257"/>
        <v>51347549</v>
      </c>
      <c r="P1864" s="157">
        <f t="shared" ca="1" si="258"/>
        <v>0.17002316865818334</v>
      </c>
    </row>
    <row r="1865" spans="5:17">
      <c r="E1865" s="147" t="s">
        <v>695</v>
      </c>
      <c r="F1865" s="136">
        <f ca="1">SUMIF($A$1:F$1858,$E1865,F$1:F$1858)</f>
        <v>29433491</v>
      </c>
      <c r="G1865" s="136">
        <f ca="1">SUMIF($A$1:G$1858,$E1865,G$1:G$1858)</f>
        <v>0</v>
      </c>
      <c r="H1865" s="136">
        <f ca="1">SUMIF($A$1:H$1858,$E1865,H$1:H$1858)</f>
        <v>1208997</v>
      </c>
      <c r="I1865" s="136">
        <f ca="1">SUMIF($A$1:I$1858,$E1865,I$1:I$1858)</f>
        <v>254651</v>
      </c>
      <c r="J1865" s="136">
        <f ca="1">SUMIF($A$1:J$1858,$E1865,J$1:J$1858)</f>
        <v>1249692</v>
      </c>
      <c r="K1865" s="136">
        <f ca="1">SUMIF($A$1:K$1858,$E1865,K$1:K$1858)</f>
        <v>32146831</v>
      </c>
      <c r="L1865" s="136">
        <f ca="1">SUMIF($A$1:L$1858,$E1865,L$1:L$1858)</f>
        <v>32311058</v>
      </c>
      <c r="M1865" s="136">
        <f t="shared" ca="1" si="255"/>
        <v>2877567</v>
      </c>
      <c r="N1865" s="157">
        <f t="shared" ca="1" si="256"/>
        <v>9.7765059537110288E-2</v>
      </c>
      <c r="O1865" s="136">
        <f t="shared" ca="1" si="257"/>
        <v>164227</v>
      </c>
      <c r="P1865" s="157">
        <f t="shared" ca="1" si="258"/>
        <v>5.1086528560155744E-3</v>
      </c>
    </row>
    <row r="1866" spans="5:17">
      <c r="E1866" s="147" t="s">
        <v>659</v>
      </c>
      <c r="F1866" s="136">
        <f ca="1">SUMIF($A$1:F$1858,$E1866,F$1:F$1858)</f>
        <v>19136049</v>
      </c>
      <c r="G1866" s="136">
        <f ca="1">SUMIF($A$1:G$1858,$E1866,G$1:G$1858)</f>
        <v>0</v>
      </c>
      <c r="H1866" s="136">
        <f ca="1">SUMIF($A$1:H$1858,$E1866,H$1:H$1858)</f>
        <v>517254</v>
      </c>
      <c r="I1866" s="136">
        <f ca="1">SUMIF($A$1:I$1858,$E1866,I$1:I$1858)</f>
        <v>453782</v>
      </c>
      <c r="J1866" s="136">
        <f ca="1">SUMIF($A$1:J$1858,$E1866,J$1:J$1858)</f>
        <v>314709</v>
      </c>
      <c r="K1866" s="136">
        <f ca="1">SUMIF($A$1:K$1858,$E1866,K$1:K$1858)</f>
        <v>20421794</v>
      </c>
      <c r="L1866" s="136">
        <f ca="1">SUMIF($A$1:L$1858,$E1866,L$1:L$1858)</f>
        <v>20334917</v>
      </c>
      <c r="M1866" s="136">
        <f t="shared" ca="1" si="255"/>
        <v>1198868</v>
      </c>
      <c r="N1866" s="157">
        <f t="shared" ca="1" si="256"/>
        <v>6.2649714159908346E-2</v>
      </c>
      <c r="O1866" s="136">
        <f t="shared" ca="1" si="257"/>
        <v>-86877</v>
      </c>
      <c r="P1866" s="157">
        <f t="shared" ca="1" si="258"/>
        <v>-4.2541316399528854E-3</v>
      </c>
    </row>
    <row r="1867" spans="5:17">
      <c r="E1867" s="147" t="s">
        <v>478</v>
      </c>
      <c r="F1867" s="136">
        <f ca="1">SUMIF($A$1:F$1858,$E1867,F$1:F$1858)</f>
        <v>2479667</v>
      </c>
      <c r="G1867" s="136">
        <f ca="1">SUMIF($A$1:G$1858,$E1867,G$1:G$1858)</f>
        <v>0</v>
      </c>
      <c r="H1867" s="136">
        <f ca="1">SUMIF($A$1:H$1858,$E1867,H$1:H$1858)</f>
        <v>85863</v>
      </c>
      <c r="I1867" s="136">
        <f ca="1">SUMIF($A$1:I$1858,$E1867,I$1:I$1858)</f>
        <v>123914</v>
      </c>
      <c r="J1867" s="136">
        <f ca="1">SUMIF($A$1:J$1858,$E1867,J$1:J$1858)</f>
        <v>105849</v>
      </c>
      <c r="K1867" s="136">
        <f ca="1">SUMIF($A$1:K$1858,$E1867,K$1:K$1858)</f>
        <v>2795293</v>
      </c>
      <c r="L1867" s="136">
        <f ca="1">SUMIF($A$1:L$1858,$E1867,L$1:L$1858)</f>
        <v>2735433</v>
      </c>
      <c r="M1867" s="136">
        <f t="shared" ca="1" si="255"/>
        <v>255766</v>
      </c>
      <c r="N1867" s="157">
        <f t="shared" ca="1" si="256"/>
        <v>0.10314530136506232</v>
      </c>
      <c r="O1867" s="136">
        <f t="shared" ca="1" si="257"/>
        <v>-59860</v>
      </c>
      <c r="P1867" s="157">
        <f t="shared" ca="1" si="258"/>
        <v>-2.1414570851785483E-2</v>
      </c>
    </row>
    <row r="1868" spans="5:17">
      <c r="E1868" s="147" t="s">
        <v>131</v>
      </c>
      <c r="F1868" s="136">
        <f ca="1">SUMIF($A$1:F$1858,$E1868,F$1:F$1858)</f>
        <v>66327251</v>
      </c>
      <c r="G1868" s="136">
        <f ca="1">SUMIF($A$1:G$1858,$E1868,G$1:G$1858)</f>
        <v>0</v>
      </c>
      <c r="H1868" s="136">
        <f ca="1">SUMIF($A$1:H$1858,$E1868,H$1:H$1858)</f>
        <v>9662864</v>
      </c>
      <c r="I1868" s="136">
        <f ca="1">SUMIF($A$1:I$1858,$E1868,I$1:I$1858)</f>
        <v>3584182</v>
      </c>
      <c r="J1868" s="136">
        <f ca="1">SUMIF($A$1:J$1858,$E1868,J$1:J$1858)</f>
        <v>1455083</v>
      </c>
      <c r="K1868" s="136">
        <f ca="1">SUMIF($A$1:K$1858,$E1868,K$1:K$1858)</f>
        <v>81029380</v>
      </c>
      <c r="L1868" s="136">
        <f ca="1">SUMIF($A$1:L$1858,$E1868,L$1:L$1858)</f>
        <v>79138651</v>
      </c>
      <c r="M1868" s="136">
        <f t="shared" ca="1" si="255"/>
        <v>12811400</v>
      </c>
      <c r="N1868" s="157">
        <f t="shared" ca="1" si="256"/>
        <v>0.1931543944132405</v>
      </c>
      <c r="O1868" s="136">
        <f t="shared" ca="1" si="257"/>
        <v>-1890729</v>
      </c>
      <c r="P1868" s="157">
        <f t="shared" ca="1" si="258"/>
        <v>-2.3333869764275626E-2</v>
      </c>
    </row>
    <row r="1869" spans="5:17">
      <c r="E1869" s="147" t="s">
        <v>143</v>
      </c>
      <c r="F1869" s="136">
        <f ca="1">SUMIF($A$1:F$1858,$E1869,F$1:F$1858)</f>
        <v>18031433</v>
      </c>
      <c r="G1869" s="136">
        <f ca="1">SUMIF($A$1:G$1858,$E1869,G$1:G$1858)</f>
        <v>0</v>
      </c>
      <c r="H1869" s="136">
        <f ca="1">SUMIF($A$1:H$1858,$E1869,H$1:H$1858)</f>
        <v>1142608</v>
      </c>
      <c r="I1869" s="136">
        <f ca="1">SUMIF($A$1:I$1858,$E1869,I$1:I$1858)</f>
        <v>1267814</v>
      </c>
      <c r="J1869" s="136">
        <f ca="1">SUMIF($A$1:J$1858,$E1869,J$1:J$1858)</f>
        <v>9949</v>
      </c>
      <c r="K1869" s="136">
        <f ca="1">SUMIF($A$1:K$1858,$E1869,K$1:K$1858)</f>
        <v>20451804</v>
      </c>
      <c r="L1869" s="136">
        <f ca="1">SUMIF($A$1:L$1858,$E1869,L$1:L$1858)</f>
        <v>18638473</v>
      </c>
      <c r="M1869" s="136">
        <f t="shared" ca="1" si="255"/>
        <v>607040</v>
      </c>
      <c r="N1869" s="157">
        <f t="shared" ca="1" si="256"/>
        <v>3.3665654859488983E-2</v>
      </c>
      <c r="O1869" s="136">
        <f t="shared" ca="1" si="257"/>
        <v>-1813331</v>
      </c>
      <c r="P1869" s="157">
        <f t="shared" ca="1" si="258"/>
        <v>-8.8663621067364029E-2</v>
      </c>
    </row>
    <row r="1870" spans="5:17">
      <c r="E1870" s="147" t="s">
        <v>373</v>
      </c>
      <c r="F1870" s="136">
        <f ca="1">SUMIF($A$1:F$1858,$E1870,F$1:F$1858)</f>
        <v>28750898</v>
      </c>
      <c r="G1870" s="136">
        <f ca="1">SUMIF($A$1:G$1858,$E1870,G$1:G$1858)</f>
        <v>0</v>
      </c>
      <c r="H1870" s="136">
        <f ca="1">SUMIF($A$1:H$1858,$E1870,H$1:H$1858)</f>
        <v>1775131</v>
      </c>
      <c r="I1870" s="136">
        <f ca="1">SUMIF($A$1:I$1858,$E1870,I$1:I$1858)</f>
        <v>1583512</v>
      </c>
      <c r="J1870" s="136">
        <f ca="1">SUMIF($A$1:J$1858,$E1870,J$1:J$1858)</f>
        <v>366202</v>
      </c>
      <c r="K1870" s="136">
        <f ca="1">SUMIF($A$1:K$1858,$E1870,K$1:K$1858)</f>
        <v>32475743</v>
      </c>
      <c r="L1870" s="136">
        <f ca="1">SUMIF($A$1:L$1858,$E1870,L$1:L$1858)</f>
        <v>35424218</v>
      </c>
      <c r="M1870" s="136">
        <f t="shared" ca="1" si="255"/>
        <v>6673320</v>
      </c>
      <c r="N1870" s="157">
        <f t="shared" ca="1" si="256"/>
        <v>0.23210822841081347</v>
      </c>
      <c r="O1870" s="136">
        <f t="shared" ca="1" si="257"/>
        <v>2948475</v>
      </c>
      <c r="P1870" s="157">
        <f t="shared" ca="1" si="258"/>
        <v>9.0790070607468479E-2</v>
      </c>
    </row>
    <row r="1871" spans="5:17">
      <c r="E1871" s="147" t="s">
        <v>696</v>
      </c>
      <c r="F1871" s="136">
        <f ca="1">SUMIF($A$1:F$1858,$E1871,F$1:F$1858)</f>
        <v>0</v>
      </c>
      <c r="G1871" s="136">
        <f ca="1">SUMIF($A$1:G$1858,$E1871,G$1:G$1858)</f>
        <v>0</v>
      </c>
      <c r="H1871" s="136">
        <f ca="1">SUMIF($A$1:H$1858,$E1871,H$1:H$1858)</f>
        <v>0</v>
      </c>
      <c r="I1871" s="136">
        <f ca="1">SUMIF($A$1:I$1858,$E1871,I$1:I$1858)</f>
        <v>0</v>
      </c>
      <c r="J1871" s="136">
        <f ca="1">SUMIF($A$1:J$1858,$E1871,J$1:J$1858)</f>
        <v>0</v>
      </c>
      <c r="K1871" s="136">
        <f ca="1">SUMIF($A$1:K$1858,$E1871,K$1:K$1858)</f>
        <v>0</v>
      </c>
      <c r="L1871" s="136">
        <f ca="1">SUMIF($A$1:L$1858,$E1871,L$1:L$1858)</f>
        <v>0</v>
      </c>
      <c r="M1871" s="136">
        <f t="shared" ca="1" si="255"/>
        <v>0</v>
      </c>
      <c r="N1871" s="157"/>
      <c r="O1871" s="136">
        <f t="shared" ca="1" si="257"/>
        <v>0</v>
      </c>
      <c r="P1871" s="157"/>
    </row>
    <row r="1872" spans="5:17">
      <c r="E1872" s="147" t="s">
        <v>697</v>
      </c>
      <c r="F1872" s="136">
        <f ca="1">SUMIF($A$1:F$1858,$E1872,F$1:F$1858)</f>
        <v>2403430</v>
      </c>
      <c r="G1872" s="136">
        <f ca="1">SUMIF($A$1:G$1858,$E1872,G$1:G$1858)</f>
        <v>0</v>
      </c>
      <c r="H1872" s="136">
        <f ca="1">SUMIF($A$1:H$1858,$E1872,H$1:H$1858)</f>
        <v>190994</v>
      </c>
      <c r="I1872" s="136">
        <f ca="1">SUMIF($A$1:I$1858,$E1872,I$1:I$1858)</f>
        <v>221033</v>
      </c>
      <c r="J1872" s="136">
        <f ca="1">SUMIF($A$1:J$1858,$E1872,J$1:J$1858)</f>
        <v>0</v>
      </c>
      <c r="K1872" s="136">
        <f ca="1">SUMIF($A$1:K$1858,$E1872,K$1:K$1858)</f>
        <v>2815457</v>
      </c>
      <c r="L1872" s="136">
        <f ca="1">SUMIF($A$1:L$1858,$E1872,L$1:L$1858)</f>
        <v>2599580</v>
      </c>
      <c r="M1872" s="136">
        <f t="shared" ca="1" si="255"/>
        <v>196150</v>
      </c>
      <c r="N1872" s="157">
        <f t="shared" ca="1" si="256"/>
        <v>8.1612528760979103E-2</v>
      </c>
      <c r="O1872" s="136">
        <f t="shared" ca="1" si="257"/>
        <v>-215877</v>
      </c>
      <c r="P1872" s="157">
        <f t="shared" ca="1" si="258"/>
        <v>-7.6675651590487795E-2</v>
      </c>
    </row>
    <row r="1873" spans="5:16">
      <c r="E1873" s="147" t="s">
        <v>374</v>
      </c>
      <c r="F1873" s="136">
        <f ca="1">SUMIF($A$1:F$1858,$E1873,F$1:F$1858)</f>
        <v>113345206</v>
      </c>
      <c r="G1873" s="136">
        <f ca="1">SUMIF($A$1:G$1858,$E1873,G$1:G$1858)</f>
        <v>0</v>
      </c>
      <c r="H1873" s="136">
        <f ca="1">SUMIF($A$1:H$1858,$E1873,H$1:H$1858)</f>
        <v>745977</v>
      </c>
      <c r="I1873" s="136">
        <f ca="1">SUMIF($A$1:I$1858,$E1873,I$1:I$1858)</f>
        <v>16312178</v>
      </c>
      <c r="J1873" s="136">
        <f ca="1">SUMIF($A$1:J$1858,$E1873,J$1:J$1858)</f>
        <v>140128</v>
      </c>
      <c r="K1873" s="136">
        <f ca="1">SUMIF($A$1:K$1858,$E1873,K$1:K$1858)</f>
        <v>130543489</v>
      </c>
      <c r="L1873" s="136">
        <f ca="1">SUMIF($A$1:L$1858,$E1873,L$1:L$1858)</f>
        <v>129692146</v>
      </c>
      <c r="M1873" s="136">
        <f t="shared" ca="1" si="255"/>
        <v>16346940</v>
      </c>
      <c r="N1873" s="157">
        <f t="shared" ca="1" si="256"/>
        <v>0.14422259729273421</v>
      </c>
      <c r="O1873" s="136">
        <f t="shared" ca="1" si="257"/>
        <v>-851343</v>
      </c>
      <c r="P1873" s="157">
        <f t="shared" ca="1" si="258"/>
        <v>-6.5215278565137784E-3</v>
      </c>
    </row>
    <row r="1874" spans="5:16">
      <c r="E1874" s="147" t="s">
        <v>378</v>
      </c>
      <c r="F1874" s="136">
        <f ca="1">SUMIF($A$1:F$1858,$E1874,F$1:F$1858)</f>
        <v>39159060</v>
      </c>
      <c r="G1874" s="136">
        <f ca="1">SUMIF($A$1:G$1858,$E1874,G$1:G$1858)</f>
        <v>3000000</v>
      </c>
      <c r="H1874" s="136">
        <f ca="1">SUMIF($A$1:H$1858,$E1874,H$1:H$1858)</f>
        <v>911199</v>
      </c>
      <c r="I1874" s="136">
        <f ca="1">SUMIF($A$1:I$1858,$E1874,I$1:I$1858)</f>
        <v>9990</v>
      </c>
      <c r="J1874" s="136">
        <f ca="1">SUMIF($A$1:J$1858,$E1874,J$1:J$1858)</f>
        <v>28379</v>
      </c>
      <c r="K1874" s="136">
        <f ca="1">SUMIF($A$1:K$1858,$E1874,K$1:K$1858)</f>
        <v>43108628</v>
      </c>
      <c r="L1874" s="136">
        <f ca="1">SUMIF($A$1:L$1858,$E1874,L$1:L$1858)</f>
        <v>51553116</v>
      </c>
      <c r="M1874" s="136">
        <f t="shared" ca="1" si="255"/>
        <v>12394056</v>
      </c>
      <c r="N1874" s="157">
        <f t="shared" ca="1" si="256"/>
        <v>0.31650545237807037</v>
      </c>
      <c r="O1874" s="136">
        <f t="shared" ca="1" si="257"/>
        <v>8444488</v>
      </c>
      <c r="P1874" s="157">
        <f t="shared" ca="1" si="258"/>
        <v>0.19588858174748683</v>
      </c>
    </row>
    <row r="1875" spans="5:16">
      <c r="E1875" s="147" t="s">
        <v>376</v>
      </c>
      <c r="F1875" s="136">
        <f ca="1">SUMIF($A$1:F$1858,$E1875,F$1:F$1858)</f>
        <v>20057051</v>
      </c>
      <c r="G1875" s="136">
        <f ca="1">SUMIF($A$1:G$1858,$E1875,G$1:G$1858)</f>
        <v>0</v>
      </c>
      <c r="H1875" s="136">
        <f ca="1">SUMIF($A$1:H$1858,$E1875,H$1:H$1858)</f>
        <v>1100664</v>
      </c>
      <c r="I1875" s="136">
        <f ca="1">SUMIF($A$1:I$1858,$E1875,I$1:I$1858)</f>
        <v>900214</v>
      </c>
      <c r="J1875" s="136">
        <f ca="1">SUMIF($A$1:J$1858,$E1875,J$1:J$1858)</f>
        <v>287497</v>
      </c>
      <c r="K1875" s="136">
        <f ca="1">SUMIF($A$1:K$1858,$E1875,K$1:K$1858)</f>
        <v>22345426</v>
      </c>
      <c r="L1875" s="136">
        <f ca="1">SUMIF($A$1:L$1858,$E1875,L$1:L$1858)</f>
        <v>20607685</v>
      </c>
      <c r="M1875" s="136">
        <f t="shared" ca="1" si="255"/>
        <v>550634</v>
      </c>
      <c r="N1875" s="157">
        <f t="shared" ca="1" si="256"/>
        <v>2.7453387838521227E-2</v>
      </c>
      <c r="O1875" s="136">
        <f t="shared" ca="1" si="257"/>
        <v>-1737741</v>
      </c>
      <c r="P1875" s="157">
        <f t="shared" ca="1" si="258"/>
        <v>-7.7767190475580991E-2</v>
      </c>
    </row>
    <row r="1876" spans="5:16">
      <c r="E1876" s="147" t="s">
        <v>375</v>
      </c>
      <c r="F1876" s="136">
        <f ca="1">SUMIF($A$1:F$1858,$E1876,F$1:F$1858)</f>
        <v>5760120</v>
      </c>
      <c r="G1876" s="136">
        <f ca="1">SUMIF($A$1:G$1858,$E1876,G$1:G$1858)</f>
        <v>0</v>
      </c>
      <c r="H1876" s="136">
        <f ca="1">SUMIF($A$1:H$1858,$E1876,H$1:H$1858)</f>
        <v>0</v>
      </c>
      <c r="I1876" s="136">
        <f ca="1">SUMIF($A$1:I$1858,$E1876,I$1:I$1858)</f>
        <v>0</v>
      </c>
      <c r="J1876" s="136">
        <f ca="1">SUMIF($A$1:J$1858,$E1876,J$1:J$1858)</f>
        <v>0</v>
      </c>
      <c r="K1876" s="136">
        <f ca="1">SUMIF($A$1:K$1858,$E1876,K$1:K$1858)</f>
        <v>5760120</v>
      </c>
      <c r="L1876" s="136">
        <f ca="1">SUMIF($A$1:L$1858,$E1876,L$1:L$1858)</f>
        <v>5760120</v>
      </c>
      <c r="M1876" s="136">
        <f t="shared" ca="1" si="255"/>
        <v>0</v>
      </c>
      <c r="N1876" s="157">
        <f t="shared" ca="1" si="256"/>
        <v>0</v>
      </c>
      <c r="O1876" s="136">
        <f t="shared" ca="1" si="257"/>
        <v>0</v>
      </c>
      <c r="P1876" s="157">
        <f t="shared" ca="1" si="258"/>
        <v>0</v>
      </c>
    </row>
    <row r="1877" spans="5:16">
      <c r="E1877" s="147" t="s">
        <v>698</v>
      </c>
      <c r="F1877" s="136">
        <f ca="1">SUMIF($A$1:F$1858,$E1877,F$1:F$1858)</f>
        <v>3714691</v>
      </c>
      <c r="G1877" s="136">
        <f ca="1">SUMIF($A$1:G$1858,$E1877,G$1:G$1858)</f>
        <v>0</v>
      </c>
      <c r="H1877" s="136">
        <f ca="1">SUMIF($A$1:H$1858,$E1877,H$1:H$1858)</f>
        <v>-82967</v>
      </c>
      <c r="I1877" s="136">
        <f ca="1">SUMIF($A$1:I$1858,$E1877,I$1:I$1858)</f>
        <v>-1491</v>
      </c>
      <c r="J1877" s="136">
        <f ca="1">SUMIF($A$1:J$1858,$E1877,J$1:J$1858)</f>
        <v>287531</v>
      </c>
      <c r="K1877" s="136">
        <f ca="1">SUMIF($A$1:K$1858,$E1877,K$1:K$1858)</f>
        <v>3917764</v>
      </c>
      <c r="L1877" s="136">
        <f ca="1">SUMIF($A$1:L$1858,$E1877,L$1:L$1858)</f>
        <v>4286702</v>
      </c>
      <c r="M1877" s="136">
        <f t="shared" ca="1" si="255"/>
        <v>572011</v>
      </c>
      <c r="N1877" s="157">
        <f t="shared" ca="1" si="256"/>
        <v>0.15398615927946632</v>
      </c>
      <c r="O1877" s="136">
        <f t="shared" ca="1" si="257"/>
        <v>368938</v>
      </c>
      <c r="P1877" s="157">
        <f t="shared" ca="1" si="258"/>
        <v>9.4170552386514353E-2</v>
      </c>
    </row>
    <row r="1878" spans="5:16">
      <c r="E1878" s="147" t="s">
        <v>377</v>
      </c>
      <c r="F1878" s="136">
        <f ca="1">SUMIF($A$1:F$1858,$E1878,F$1:F$1858)</f>
        <v>1998512</v>
      </c>
      <c r="G1878" s="136">
        <f ca="1">SUMIF($A$1:G$1858,$E1878,G$1:G$1858)</f>
        <v>0</v>
      </c>
      <c r="H1878" s="136">
        <f ca="1">SUMIF($A$1:H$1858,$E1878,H$1:H$1858)</f>
        <v>161904</v>
      </c>
      <c r="I1878" s="136">
        <f ca="1">SUMIF($A$1:I$1858,$E1878,I$1:I$1858)</f>
        <v>467479</v>
      </c>
      <c r="J1878" s="136">
        <f ca="1">SUMIF($A$1:J$1858,$E1878,J$1:J$1858)</f>
        <v>11989</v>
      </c>
      <c r="K1878" s="136">
        <f ca="1">SUMIF($A$1:K$1858,$E1878,K$1:K$1858)</f>
        <v>2639884</v>
      </c>
      <c r="L1878" s="136">
        <f ca="1">SUMIF($A$1:L$1858,$E1878,L$1:L$1858)</f>
        <v>11117591</v>
      </c>
      <c r="M1878" s="136">
        <f t="shared" ca="1" si="255"/>
        <v>9119079</v>
      </c>
      <c r="N1878" s="157">
        <f t="shared" ca="1" si="256"/>
        <v>4.5629343231364139</v>
      </c>
      <c r="O1878" s="136">
        <f t="shared" ca="1" si="257"/>
        <v>8477707</v>
      </c>
      <c r="P1878" s="157">
        <f t="shared" ca="1" si="258"/>
        <v>3.2113937582105883</v>
      </c>
    </row>
    <row r="1879" spans="5:16">
      <c r="E1879" s="147" t="s">
        <v>699</v>
      </c>
      <c r="F1879" s="136">
        <f ca="1">SUMIF($A$1:F$1858,$E1879,F$1:F$1858)</f>
        <v>5238921</v>
      </c>
      <c r="G1879" s="136">
        <f ca="1">SUMIF($A$1:G$1858,$E1879,G$1:G$1858)</f>
        <v>0</v>
      </c>
      <c r="H1879" s="136">
        <f ca="1">SUMIF($A$1:H$1858,$E1879,H$1:H$1858)</f>
        <v>-86345</v>
      </c>
      <c r="I1879" s="136">
        <f ca="1">SUMIF($A$1:I$1858,$E1879,I$1:I$1858)</f>
        <v>-37932</v>
      </c>
      <c r="J1879" s="136">
        <f ca="1">SUMIF($A$1:J$1858,$E1879,J$1:J$1858)</f>
        <v>285284</v>
      </c>
      <c r="K1879" s="136">
        <f ca="1">SUMIF($A$1:K$1858,$E1879,K$1:K$1858)</f>
        <v>5399928</v>
      </c>
      <c r="L1879" s="136">
        <f ca="1">SUMIF($A$1:L$1858,$E1879,L$1:L$1858)</f>
        <v>4814817</v>
      </c>
      <c r="M1879" s="136">
        <f t="shared" ca="1" si="255"/>
        <v>-424104</v>
      </c>
      <c r="N1879" s="157">
        <f t="shared" ca="1" si="256"/>
        <v>-8.0952547289794979E-2</v>
      </c>
      <c r="O1879" s="136">
        <f t="shared" ca="1" si="257"/>
        <v>-585111</v>
      </c>
      <c r="P1879" s="157">
        <f t="shared" ca="1" si="258"/>
        <v>-0.10835533362667057</v>
      </c>
    </row>
    <row r="1880" spans="5:16">
      <c r="E1880" s="147" t="s">
        <v>673</v>
      </c>
      <c r="F1880" s="136">
        <f ca="1">SUMIF($A$1:F$1858,$E1880,F$1:F$1858)</f>
        <v>0</v>
      </c>
      <c r="G1880" s="136">
        <f ca="1">SUMIF($A$1:G$1858,$E1880,G$1:G$1858)</f>
        <v>0</v>
      </c>
      <c r="H1880" s="136">
        <f ca="1">SUMIF($A$1:H$1858,$E1880,H$1:H$1858)</f>
        <v>0</v>
      </c>
      <c r="I1880" s="136">
        <f ca="1">SUMIF($A$1:I$1858,$E1880,I$1:I$1858)</f>
        <v>0</v>
      </c>
      <c r="J1880" s="136">
        <f ca="1">SUMIF($A$1:J$1858,$E1880,J$1:J$1858)</f>
        <v>0</v>
      </c>
      <c r="K1880" s="136">
        <f ca="1">SUMIF($A$1:K$1858,$E1880,K$1:K$1858)</f>
        <v>0</v>
      </c>
      <c r="L1880" s="136">
        <f ca="1">SUMIF($A$1:L$1858,$E1880,L$1:L$1858)</f>
        <v>0</v>
      </c>
      <c r="M1880" s="136">
        <f t="shared" ca="1" si="255"/>
        <v>0</v>
      </c>
      <c r="N1880" s="157"/>
      <c r="O1880" s="136">
        <f t="shared" ca="1" si="257"/>
        <v>0</v>
      </c>
      <c r="P1880" s="157"/>
    </row>
    <row r="1881" spans="5:16">
      <c r="E1881" s="147" t="s">
        <v>700</v>
      </c>
      <c r="F1881" s="136">
        <f ca="1">SUMIF($A$1:F$1858,$E1881,F$1:F$1858)</f>
        <v>5390954</v>
      </c>
      <c r="G1881" s="136">
        <f ca="1">SUMIF($A$1:G$1858,$E1881,G$1:G$1858)</f>
        <v>0</v>
      </c>
      <c r="H1881" s="136">
        <f ca="1">SUMIF($A$1:H$1858,$E1881,H$1:H$1858)</f>
        <v>42473</v>
      </c>
      <c r="I1881" s="136">
        <f ca="1">SUMIF($A$1:I$1858,$E1881,I$1:I$1858)</f>
        <v>52221</v>
      </c>
      <c r="J1881" s="136">
        <f ca="1">SUMIF($A$1:J$1858,$E1881,J$1:J$1858)</f>
        <v>305357</v>
      </c>
      <c r="K1881" s="136">
        <f ca="1">SUMIF($A$1:K$1858,$E1881,K$1:K$1858)</f>
        <v>5791005</v>
      </c>
      <c r="L1881" s="136">
        <f ca="1">SUMIF($A$1:L$1858,$E1881,L$1:L$1858)</f>
        <v>5820042</v>
      </c>
      <c r="M1881" s="136">
        <f t="shared" ca="1" si="255"/>
        <v>429088</v>
      </c>
      <c r="N1881" s="157">
        <f t="shared" ca="1" si="256"/>
        <v>7.9594075556942243E-2</v>
      </c>
      <c r="O1881" s="136">
        <f t="shared" ca="1" si="257"/>
        <v>29037</v>
      </c>
      <c r="P1881" s="157">
        <f t="shared" ca="1" si="258"/>
        <v>5.0141555740324866E-3</v>
      </c>
    </row>
    <row r="1882" spans="5:16">
      <c r="E1882" s="146" t="s">
        <v>701</v>
      </c>
      <c r="F1882" s="123">
        <f t="shared" ref="F1882" ca="1" si="259">SUM(F1862:F1881)</f>
        <v>711201926</v>
      </c>
      <c r="G1882" s="123">
        <f t="shared" ref="G1882:L1882" ca="1" si="260">SUM(G1862:G1881)</f>
        <v>5995830</v>
      </c>
      <c r="H1882" s="123">
        <f t="shared" ca="1" si="260"/>
        <v>19698187</v>
      </c>
      <c r="I1882" s="123">
        <f t="shared" ca="1" si="260"/>
        <v>29416343</v>
      </c>
      <c r="J1882" s="123">
        <f t="shared" ca="1" si="260"/>
        <v>8016279</v>
      </c>
      <c r="K1882" s="123">
        <f t="shared" ca="1" si="260"/>
        <v>774328565</v>
      </c>
      <c r="L1882" s="123">
        <f t="shared" ca="1" si="260"/>
        <v>841559782</v>
      </c>
      <c r="M1882" s="123">
        <f t="shared" ca="1" si="255"/>
        <v>130357856</v>
      </c>
      <c r="N1882" s="160">
        <f t="shared" ca="1" si="256"/>
        <v>0.18329232702331011</v>
      </c>
      <c r="O1882" s="123">
        <f t="shared" ca="1" si="257"/>
        <v>67231217</v>
      </c>
      <c r="P1882" s="160">
        <f t="shared" ca="1" si="258"/>
        <v>8.6825179954455128E-2</v>
      </c>
    </row>
    <row r="1883" spans="5:16">
      <c r="E1883" s="147" t="s">
        <v>702</v>
      </c>
      <c r="F1883" s="136">
        <f>F1831</f>
        <v>3000000</v>
      </c>
      <c r="G1883" s="136">
        <f t="shared" ref="G1883:L1883" si="261">G1831</f>
        <v>0</v>
      </c>
      <c r="H1883" s="136">
        <f t="shared" si="261"/>
        <v>0</v>
      </c>
      <c r="I1883" s="136">
        <f t="shared" si="261"/>
        <v>0</v>
      </c>
      <c r="J1883" s="136">
        <f t="shared" si="261"/>
        <v>0</v>
      </c>
      <c r="K1883" s="136">
        <f t="shared" si="261"/>
        <v>3000000</v>
      </c>
      <c r="L1883" s="136">
        <f t="shared" si="261"/>
        <v>5000000</v>
      </c>
      <c r="M1883" s="136">
        <f t="shared" si="255"/>
        <v>2000000</v>
      </c>
      <c r="N1883" s="157">
        <f t="shared" si="256"/>
        <v>0.66666666666666663</v>
      </c>
      <c r="O1883" s="136">
        <f t="shared" si="257"/>
        <v>2000000</v>
      </c>
      <c r="P1883" s="157">
        <f t="shared" si="258"/>
        <v>0.66666666666666663</v>
      </c>
    </row>
    <row r="1884" spans="5:16">
      <c r="E1884" s="147" t="s">
        <v>703</v>
      </c>
      <c r="F1884" s="136">
        <f ca="1">SUMIF($A$1:F$1858,$A$1822,F$1:F$1858)+F1834</f>
        <v>818500</v>
      </c>
      <c r="G1884" s="136">
        <f ca="1">SUMIF($A$1:G$1858,$A$1822,G$1:G$1858)+G1834</f>
        <v>1500000</v>
      </c>
      <c r="H1884" s="136">
        <f ca="1">SUMIF($A$1:H$1858,$A$1822,H$1:H$1858)+H1834</f>
        <v>-20000</v>
      </c>
      <c r="I1884" s="136">
        <f ca="1">SUMIF($A$1:I$1858,$A$1822,I$1:I$1858)+I1834</f>
        <v>-71780</v>
      </c>
      <c r="J1884" s="136">
        <f ca="1">SUMIF($A$1:J$1858,$A$1822,J$1:J$1858)+J1834</f>
        <v>0</v>
      </c>
      <c r="K1884" s="136">
        <f ca="1">SUMIF($A$1:K$1858,$A$1822,K$1:K$1858)+K1834</f>
        <v>2226720</v>
      </c>
      <c r="L1884" s="136">
        <f ca="1">SUMIF($A$1:L$1858,$A$1822,L$1:L$1858)+L1834</f>
        <v>780710</v>
      </c>
      <c r="M1884" s="136">
        <f t="shared" ca="1" si="255"/>
        <v>-37790</v>
      </c>
      <c r="N1884" s="157">
        <f t="shared" ca="1" si="256"/>
        <v>-4.616982284667074E-2</v>
      </c>
      <c r="O1884" s="136">
        <f t="shared" ca="1" si="257"/>
        <v>-1446010</v>
      </c>
      <c r="P1884" s="157">
        <f t="shared" ca="1" si="258"/>
        <v>-0.64939013436803905</v>
      </c>
    </row>
    <row r="1885" spans="5:16">
      <c r="E1885" s="147" t="s">
        <v>704</v>
      </c>
      <c r="F1885" s="136">
        <f>F1836</f>
        <v>1500000</v>
      </c>
      <c r="G1885" s="136">
        <f t="shared" ref="G1885:L1885" si="262">G1836</f>
        <v>0</v>
      </c>
      <c r="H1885" s="136">
        <f t="shared" si="262"/>
        <v>-1000000</v>
      </c>
      <c r="I1885" s="136">
        <f t="shared" si="262"/>
        <v>0</v>
      </c>
      <c r="J1885" s="136">
        <f t="shared" si="262"/>
        <v>0</v>
      </c>
      <c r="K1885" s="136">
        <f t="shared" si="262"/>
        <v>500000</v>
      </c>
      <c r="L1885" s="136">
        <f t="shared" si="262"/>
        <v>1000000</v>
      </c>
      <c r="M1885" s="136">
        <f t="shared" si="255"/>
        <v>-500000</v>
      </c>
      <c r="N1885" s="157">
        <f t="shared" si="256"/>
        <v>-0.33333333333333331</v>
      </c>
      <c r="O1885" s="136">
        <f t="shared" si="257"/>
        <v>500000</v>
      </c>
      <c r="P1885" s="157">
        <f t="shared" si="258"/>
        <v>1</v>
      </c>
    </row>
    <row r="1886" spans="5:16">
      <c r="E1886" s="475" t="s">
        <v>705</v>
      </c>
      <c r="F1886" s="136">
        <f>F1837</f>
        <v>2000000</v>
      </c>
      <c r="G1886" s="136">
        <f t="shared" ref="G1886:L1886" si="263">G1837</f>
        <v>0</v>
      </c>
      <c r="H1886" s="136">
        <f t="shared" si="263"/>
        <v>-1000000</v>
      </c>
      <c r="I1886" s="136">
        <f t="shared" si="263"/>
        <v>0</v>
      </c>
      <c r="J1886" s="136">
        <f t="shared" si="263"/>
        <v>0</v>
      </c>
      <c r="K1886" s="136">
        <f t="shared" si="263"/>
        <v>1000000</v>
      </c>
      <c r="L1886" s="136">
        <f t="shared" si="263"/>
        <v>1000000</v>
      </c>
      <c r="M1886" s="136">
        <f t="shared" si="255"/>
        <v>-1000000</v>
      </c>
      <c r="N1886" s="157">
        <f t="shared" si="256"/>
        <v>-0.5</v>
      </c>
      <c r="O1886" s="136">
        <f t="shared" si="257"/>
        <v>0</v>
      </c>
      <c r="P1886" s="157">
        <f t="shared" si="258"/>
        <v>0</v>
      </c>
    </row>
    <row r="1887" spans="5:16">
      <c r="E1887" s="147" t="s">
        <v>706</v>
      </c>
      <c r="F1887" s="136">
        <f>F1839</f>
        <v>1500000</v>
      </c>
      <c r="G1887" s="136">
        <f t="shared" ref="G1887:L1887" si="264">G1839</f>
        <v>0</v>
      </c>
      <c r="H1887" s="136">
        <f t="shared" si="264"/>
        <v>-1080000</v>
      </c>
      <c r="I1887" s="136">
        <f t="shared" si="264"/>
        <v>-127753</v>
      </c>
      <c r="J1887" s="136">
        <f t="shared" si="264"/>
        <v>0</v>
      </c>
      <c r="K1887" s="136">
        <f t="shared" si="264"/>
        <v>292247</v>
      </c>
      <c r="L1887" s="136">
        <f t="shared" si="264"/>
        <v>1000000</v>
      </c>
      <c r="M1887" s="136">
        <f t="shared" si="255"/>
        <v>-500000</v>
      </c>
      <c r="N1887" s="157">
        <f t="shared" si="256"/>
        <v>-0.33333333333333331</v>
      </c>
      <c r="O1887" s="136">
        <f t="shared" si="257"/>
        <v>707753</v>
      </c>
      <c r="P1887" s="157">
        <f t="shared" si="258"/>
        <v>2.421763097653697</v>
      </c>
    </row>
    <row r="1888" spans="5:16">
      <c r="E1888" s="147" t="s">
        <v>605</v>
      </c>
      <c r="F1888" s="136">
        <f>F1838</f>
        <v>1000000</v>
      </c>
      <c r="G1888" s="136">
        <f t="shared" ref="G1888:L1888" si="265">G1838</f>
        <v>0</v>
      </c>
      <c r="H1888" s="136">
        <f t="shared" si="265"/>
        <v>0</v>
      </c>
      <c r="I1888" s="136">
        <f t="shared" si="265"/>
        <v>0</v>
      </c>
      <c r="J1888" s="136">
        <f t="shared" si="265"/>
        <v>0</v>
      </c>
      <c r="K1888" s="136">
        <f t="shared" si="265"/>
        <v>1000000</v>
      </c>
      <c r="L1888" s="136">
        <f t="shared" si="265"/>
        <v>1000000</v>
      </c>
      <c r="M1888" s="136">
        <f t="shared" si="255"/>
        <v>0</v>
      </c>
      <c r="N1888" s="157">
        <f t="shared" si="256"/>
        <v>0</v>
      </c>
      <c r="O1888" s="136">
        <f t="shared" si="257"/>
        <v>0</v>
      </c>
      <c r="P1888" s="157">
        <f t="shared" si="258"/>
        <v>0</v>
      </c>
    </row>
    <row r="1889" spans="5:16">
      <c r="E1889" s="147" t="s">
        <v>645</v>
      </c>
      <c r="F1889" s="136">
        <f>F1842</f>
        <v>6430000</v>
      </c>
      <c r="G1889" s="136">
        <f t="shared" ref="G1889:L1889" si="266">G1842</f>
        <v>2347170</v>
      </c>
      <c r="H1889" s="136">
        <f t="shared" si="266"/>
        <v>0</v>
      </c>
      <c r="I1889" s="136">
        <f t="shared" si="266"/>
        <v>0</v>
      </c>
      <c r="J1889" s="136">
        <f t="shared" si="266"/>
        <v>-8016279</v>
      </c>
      <c r="K1889" s="136">
        <f t="shared" si="266"/>
        <v>760891</v>
      </c>
      <c r="L1889" s="136">
        <f t="shared" si="266"/>
        <v>13750000</v>
      </c>
      <c r="M1889" s="136">
        <f t="shared" si="255"/>
        <v>7320000</v>
      </c>
      <c r="N1889" s="157">
        <f t="shared" si="256"/>
        <v>1.1384136858475895</v>
      </c>
      <c r="O1889" s="136">
        <f t="shared" si="257"/>
        <v>12989109</v>
      </c>
      <c r="P1889" s="157">
        <f t="shared" si="258"/>
        <v>17.070919487811</v>
      </c>
    </row>
    <row r="1890" spans="5:16">
      <c r="E1890" s="147" t="s">
        <v>1189</v>
      </c>
      <c r="F1890" s="136">
        <f t="shared" ref="F1890" si="267">F1844</f>
        <v>0</v>
      </c>
      <c r="G1890" s="136">
        <f t="shared" ref="G1890:L1890" si="268">G1844</f>
        <v>0</v>
      </c>
      <c r="H1890" s="136">
        <f t="shared" si="268"/>
        <v>18000000</v>
      </c>
      <c r="I1890" s="136">
        <f t="shared" si="268"/>
        <v>9000000</v>
      </c>
      <c r="J1890" s="136">
        <f t="shared" si="268"/>
        <v>0</v>
      </c>
      <c r="K1890" s="136">
        <f t="shared" si="268"/>
        <v>27000000</v>
      </c>
      <c r="L1890" s="136">
        <f t="shared" si="268"/>
        <v>18000000</v>
      </c>
      <c r="M1890" s="136">
        <f t="shared" si="255"/>
        <v>18000000</v>
      </c>
      <c r="N1890" s="157"/>
      <c r="O1890" s="136">
        <f t="shared" si="257"/>
        <v>-9000000</v>
      </c>
      <c r="P1890" s="157">
        <f t="shared" si="258"/>
        <v>-0.33333333333333331</v>
      </c>
    </row>
    <row r="1891" spans="5:16">
      <c r="E1891" s="146" t="s">
        <v>707</v>
      </c>
      <c r="F1891" s="123">
        <f t="shared" ref="F1891" ca="1" si="269">SUM(F1882:F1890)</f>
        <v>727450426</v>
      </c>
      <c r="G1891" s="123">
        <f t="shared" ref="G1891:L1891" ca="1" si="270">SUM(G1882:G1890)</f>
        <v>9843000</v>
      </c>
      <c r="H1891" s="123">
        <f t="shared" ca="1" si="270"/>
        <v>34598187</v>
      </c>
      <c r="I1891" s="123">
        <f t="shared" ca="1" si="270"/>
        <v>38216810</v>
      </c>
      <c r="J1891" s="123">
        <f t="shared" ca="1" si="270"/>
        <v>0</v>
      </c>
      <c r="K1891" s="123">
        <f t="shared" ca="1" si="270"/>
        <v>810108423</v>
      </c>
      <c r="L1891" s="123">
        <f t="shared" ca="1" si="270"/>
        <v>883090492</v>
      </c>
      <c r="M1891" s="123">
        <f t="shared" ca="1" si="255"/>
        <v>155640066</v>
      </c>
      <c r="N1891" s="160">
        <f t="shared" ca="1" si="256"/>
        <v>0.21395281442862196</v>
      </c>
      <c r="O1891" s="123">
        <f t="shared" ca="1" si="257"/>
        <v>72982069</v>
      </c>
      <c r="P1891" s="160">
        <f t="shared" ca="1" si="258"/>
        <v>9.0089260805031768E-2</v>
      </c>
    </row>
    <row r="1892" spans="5:16">
      <c r="E1892" s="147" t="s">
        <v>708</v>
      </c>
      <c r="F1892" s="136">
        <f>F1846</f>
        <v>19000000</v>
      </c>
      <c r="G1892" s="136">
        <f t="shared" ref="G1892:L1892" si="271">G1846</f>
        <v>0</v>
      </c>
      <c r="H1892" s="136">
        <f t="shared" si="271"/>
        <v>0</v>
      </c>
      <c r="I1892" s="136">
        <f t="shared" si="271"/>
        <v>0</v>
      </c>
      <c r="J1892" s="136">
        <f t="shared" si="271"/>
        <v>0</v>
      </c>
      <c r="K1892" s="136">
        <f t="shared" si="271"/>
        <v>19000000</v>
      </c>
      <c r="L1892" s="136">
        <f t="shared" si="271"/>
        <v>19000000</v>
      </c>
      <c r="M1892" s="136">
        <f t="shared" si="255"/>
        <v>0</v>
      </c>
      <c r="N1892" s="157">
        <f t="shared" si="256"/>
        <v>0</v>
      </c>
      <c r="O1892" s="136">
        <f t="shared" si="257"/>
        <v>0</v>
      </c>
      <c r="P1892" s="157">
        <f t="shared" si="258"/>
        <v>0</v>
      </c>
    </row>
    <row r="1893" spans="5:16">
      <c r="E1893" s="146" t="s">
        <v>13</v>
      </c>
      <c r="F1893" s="123">
        <f t="shared" ref="F1893" ca="1" si="272">F1891+F1892</f>
        <v>746450426</v>
      </c>
      <c r="G1893" s="123">
        <f t="shared" ref="G1893:L1893" ca="1" si="273">G1891+G1892</f>
        <v>9843000</v>
      </c>
      <c r="H1893" s="123">
        <f t="shared" ca="1" si="273"/>
        <v>34598187</v>
      </c>
      <c r="I1893" s="123">
        <f t="shared" ca="1" si="273"/>
        <v>38216810</v>
      </c>
      <c r="J1893" s="123">
        <f t="shared" ca="1" si="273"/>
        <v>0</v>
      </c>
      <c r="K1893" s="123">
        <f t="shared" ca="1" si="273"/>
        <v>829108423</v>
      </c>
      <c r="L1893" s="123">
        <f t="shared" ca="1" si="273"/>
        <v>902090492</v>
      </c>
      <c r="M1893" s="123">
        <f t="shared" ca="1" si="255"/>
        <v>155640066</v>
      </c>
      <c r="N1893" s="160">
        <f t="shared" ca="1" si="256"/>
        <v>0.20850690223867593</v>
      </c>
      <c r="O1893" s="123">
        <f t="shared" ca="1" si="257"/>
        <v>72982069</v>
      </c>
      <c r="P1893" s="160">
        <f t="shared" ca="1" si="258"/>
        <v>8.8024758855935539E-2</v>
      </c>
    </row>
    <row r="1894" spans="5:16">
      <c r="E1894" s="146"/>
      <c r="F1894" s="136">
        <f ca="1">F1893-F1848</f>
        <v>0</v>
      </c>
      <c r="G1894" s="136">
        <f t="shared" ref="G1894:L1894" ca="1" si="274">G1893-G1848</f>
        <v>0</v>
      </c>
      <c r="H1894" s="136">
        <f t="shared" ca="1" si="274"/>
        <v>0</v>
      </c>
      <c r="I1894" s="136">
        <f t="shared" ca="1" si="274"/>
        <v>0</v>
      </c>
      <c r="J1894" s="136">
        <f t="shared" ca="1" si="274"/>
        <v>0</v>
      </c>
      <c r="K1894" s="136">
        <f t="shared" ca="1" si="274"/>
        <v>0</v>
      </c>
      <c r="L1894" s="136">
        <f t="shared" ca="1" si="274"/>
        <v>0</v>
      </c>
      <c r="M1894" s="136">
        <f t="shared" ca="1" si="255"/>
        <v>0</v>
      </c>
      <c r="N1894" s="157"/>
      <c r="O1894" s="136">
        <f t="shared" ca="1" si="257"/>
        <v>0</v>
      </c>
      <c r="P1894" s="157"/>
    </row>
    <row r="1895" spans="5:16">
      <c r="E1895" s="476" t="s">
        <v>709</v>
      </c>
      <c r="F1895" s="135"/>
      <c r="G1895" s="135"/>
      <c r="H1895" s="135"/>
      <c r="I1895" s="135"/>
      <c r="J1895" s="135"/>
      <c r="K1895" s="135"/>
      <c r="M1895" s="135">
        <f t="shared" si="255"/>
        <v>0</v>
      </c>
      <c r="N1895" s="157"/>
      <c r="O1895" s="135">
        <f t="shared" si="257"/>
        <v>0</v>
      </c>
      <c r="P1895" s="157"/>
    </row>
    <row r="1896" spans="5:16">
      <c r="E1896" s="403" t="s">
        <v>710</v>
      </c>
      <c r="F1896" s="135"/>
      <c r="G1896" s="135"/>
      <c r="H1896" s="135"/>
      <c r="I1896" s="135"/>
      <c r="J1896" s="135"/>
      <c r="K1896" s="135"/>
      <c r="M1896" s="135">
        <f t="shared" si="255"/>
        <v>0</v>
      </c>
      <c r="N1896" s="157"/>
      <c r="O1896" s="135">
        <f t="shared" si="257"/>
        <v>0</v>
      </c>
      <c r="P1896" s="157"/>
    </row>
    <row r="1897" spans="5:16">
      <c r="E1897" s="146"/>
      <c r="F1897" s="135"/>
      <c r="G1897" s="135"/>
      <c r="H1897" s="135"/>
      <c r="I1897" s="135"/>
      <c r="J1897" s="135"/>
      <c r="K1897" s="135"/>
      <c r="M1897" s="135">
        <f t="shared" si="255"/>
        <v>0</v>
      </c>
      <c r="N1897" s="157"/>
      <c r="O1897" s="135">
        <f t="shared" si="257"/>
        <v>0</v>
      </c>
      <c r="P1897" s="157"/>
    </row>
    <row r="1898" spans="5:16">
      <c r="E1898" s="147" t="s">
        <v>752</v>
      </c>
      <c r="F1898" s="136">
        <f ca="1">SUMIF($B$1:F$1858,$E1898,F$1:F$1858)</f>
        <v>2807699</v>
      </c>
      <c r="G1898" s="136">
        <f ca="1">SUMIF($B$1:G$1858,$E1898,G$1:G$1858)</f>
        <v>0</v>
      </c>
      <c r="H1898" s="136">
        <f ca="1">SUMIF($B$1:H$1858,$E1898,H$1:H$1858)</f>
        <v>137973</v>
      </c>
      <c r="I1898" s="136">
        <f ca="1">SUMIF($B$1:I$1858,$E1898,I$1:I$1858)</f>
        <v>8040</v>
      </c>
      <c r="J1898" s="136">
        <f ca="1">SUMIF($B$1:J$1858,$E1898,J$1:J$1858)</f>
        <v>91912</v>
      </c>
      <c r="K1898" s="136">
        <f ca="1">SUMIF($B$1:K$1858,$E1898,K$1:K$1858)</f>
        <v>3045624</v>
      </c>
      <c r="L1898" s="136">
        <f ca="1">SUMIF($B$1:L$1858,$E1898,L$1:L$1858)</f>
        <v>3083957</v>
      </c>
      <c r="M1898" s="136">
        <f t="shared" ca="1" si="255"/>
        <v>276258</v>
      </c>
      <c r="N1898" s="157">
        <f t="shared" ca="1" si="256"/>
        <v>9.8393025748130414E-2</v>
      </c>
      <c r="O1898" s="136">
        <f t="shared" ca="1" si="257"/>
        <v>38333</v>
      </c>
      <c r="P1898" s="157">
        <f t="shared" ca="1" si="258"/>
        <v>1.2586254902115297E-2</v>
      </c>
    </row>
    <row r="1899" spans="5:16">
      <c r="E1899" s="147" t="s">
        <v>99</v>
      </c>
      <c r="F1899" s="136">
        <f ca="1">SUMIF($B$1:F$1858,$E1899,F$1:F$1858)</f>
        <v>7219817</v>
      </c>
      <c r="G1899" s="136">
        <f ca="1">SUMIF($B$1:G$1858,$E1899,G$1:G$1858)</f>
        <v>0</v>
      </c>
      <c r="H1899" s="136">
        <f ca="1">SUMIF($B$1:H$1858,$E1899,H$1:H$1858)</f>
        <v>82364</v>
      </c>
      <c r="I1899" s="136">
        <f ca="1">SUMIF($B$1:I$1858,$E1899,I$1:I$1858)</f>
        <v>297729</v>
      </c>
      <c r="J1899" s="136">
        <f ca="1">SUMIF($B$1:J$1858,$E1899,J$1:J$1858)</f>
        <v>287998</v>
      </c>
      <c r="K1899" s="136">
        <f ca="1">SUMIF($B$1:K$1858,$E1899,K$1:K$1858)</f>
        <v>7887908</v>
      </c>
      <c r="L1899" s="136">
        <f ca="1">SUMIF($B$1:L$1858,$E1899,L$1:L$1858)</f>
        <v>7988706</v>
      </c>
      <c r="M1899" s="136">
        <f t="shared" ca="1" si="255"/>
        <v>768889</v>
      </c>
      <c r="N1899" s="157">
        <f t="shared" ca="1" si="256"/>
        <v>0.10649702063085532</v>
      </c>
      <c r="O1899" s="136">
        <f t="shared" ca="1" si="257"/>
        <v>100798</v>
      </c>
      <c r="P1899" s="157">
        <f t="shared" ca="1" si="258"/>
        <v>1.2778800158419697E-2</v>
      </c>
    </row>
    <row r="1900" spans="5:16">
      <c r="E1900" s="10" t="s">
        <v>609</v>
      </c>
      <c r="F1900" s="136">
        <f ca="1">SUMIF($B$1:F$1858,$E1900,F$1:F$1858)</f>
        <v>47564577</v>
      </c>
      <c r="G1900" s="136">
        <f ca="1">SUMIF($B$1:G$1858,$E1900,G$1:G$1858)</f>
        <v>0</v>
      </c>
      <c r="H1900" s="136">
        <f ca="1">SUMIF($B$1:H$1858,$E1900,H$1:H$1858)</f>
        <v>18378</v>
      </c>
      <c r="I1900" s="136">
        <f ca="1">SUMIF($B$1:I$1858,$E1900,I$1:I$1858)</f>
        <v>54711</v>
      </c>
      <c r="J1900" s="136">
        <f ca="1">SUMIF($B$1:J$1858,$E1900,J$1:J$1858)</f>
        <v>1137895</v>
      </c>
      <c r="K1900" s="136">
        <f ca="1">SUMIF($B$1:K$1858,$E1900,K$1:K$1858)</f>
        <v>48775561</v>
      </c>
      <c r="L1900" s="136">
        <f ca="1">SUMIF($B$1:L$1858,$E1900,L$1:L$1858)</f>
        <v>57785379</v>
      </c>
      <c r="M1900" s="136">
        <f t="shared" ca="1" si="255"/>
        <v>10220802</v>
      </c>
      <c r="N1900" s="157">
        <f t="shared" ca="1" si="256"/>
        <v>0.21488264260186735</v>
      </c>
      <c r="O1900" s="136">
        <f t="shared" ca="1" si="257"/>
        <v>9009818</v>
      </c>
      <c r="P1900" s="157">
        <f t="shared" ca="1" si="258"/>
        <v>0.18471992562012768</v>
      </c>
    </row>
    <row r="1901" spans="5:16">
      <c r="E1901" s="147" t="s">
        <v>100</v>
      </c>
      <c r="F1901" s="136">
        <f ca="1">SUMIF($B$1:F$1858,$E1901,F$1:F$1858)</f>
        <v>2334156</v>
      </c>
      <c r="G1901" s="136">
        <f ca="1">SUMIF($B$1:G$1858,$E1901,G$1:G$1858)</f>
        <v>0</v>
      </c>
      <c r="H1901" s="136">
        <f ca="1">SUMIF($B$1:H$1858,$E1901,H$1:H$1858)</f>
        <v>118032</v>
      </c>
      <c r="I1901" s="136">
        <f ca="1">SUMIF($B$1:I$1858,$E1901,I$1:I$1858)</f>
        <v>-30792</v>
      </c>
      <c r="J1901" s="136">
        <f ca="1">SUMIF($B$1:J$1858,$E1901,J$1:J$1858)</f>
        <v>69794</v>
      </c>
      <c r="K1901" s="136">
        <f ca="1">SUMIF($B$1:K$1858,$E1901,K$1:K$1858)</f>
        <v>2491190</v>
      </c>
      <c r="L1901" s="136">
        <f ca="1">SUMIF($B$1:L$1858,$E1901,L$1:L$1858)</f>
        <v>2518057</v>
      </c>
      <c r="M1901" s="136">
        <f t="shared" ca="1" si="255"/>
        <v>183901</v>
      </c>
      <c r="N1901" s="157">
        <f t="shared" ca="1" si="256"/>
        <v>7.8786936263043256E-2</v>
      </c>
      <c r="O1901" s="136">
        <f t="shared" ca="1" si="257"/>
        <v>26867</v>
      </c>
      <c r="P1901" s="157">
        <f t="shared" ca="1" si="258"/>
        <v>1.0784805655128673E-2</v>
      </c>
    </row>
    <row r="1902" spans="5:16">
      <c r="E1902" s="147" t="s">
        <v>48</v>
      </c>
      <c r="F1902" s="136">
        <f ca="1">SUMIF($B$1:F$1858,$E1902,F$1:F$1858)</f>
        <v>289198912</v>
      </c>
      <c r="G1902" s="136">
        <f ca="1">SUMIF($B$1:G$1858,$E1902,G$1:G$1858)</f>
        <v>2995830</v>
      </c>
      <c r="H1902" s="136">
        <f ca="1">SUMIF($B$1:H$1858,$E1902,H$1:H$1858)</f>
        <v>2147047</v>
      </c>
      <c r="I1902" s="136">
        <f ca="1">SUMIF($B$1:I$1858,$E1902,I$1:I$1858)</f>
        <v>4832043</v>
      </c>
      <c r="J1902" s="136">
        <f ca="1">SUMIF($B$1:J$1858,$E1902,J$1:J$1858)</f>
        <v>167498</v>
      </c>
      <c r="K1902" s="136">
        <f ca="1">SUMIF($B$1:K$1858,$E1902,K$1:K$1858)</f>
        <v>299341330</v>
      </c>
      <c r="L1902" s="136">
        <f ca="1">SUMIF($B$1:L$1858,$E1902,L$1:L$1858)</f>
        <v>350222831</v>
      </c>
      <c r="M1902" s="136">
        <f t="shared" ca="1" si="255"/>
        <v>61023919</v>
      </c>
      <c r="N1902" s="157">
        <f t="shared" ca="1" si="256"/>
        <v>0.2110101956400168</v>
      </c>
      <c r="O1902" s="136">
        <f t="shared" ca="1" si="257"/>
        <v>50881501</v>
      </c>
      <c r="P1902" s="157">
        <f t="shared" ca="1" si="258"/>
        <v>0.16997820180728135</v>
      </c>
    </row>
    <row r="1903" spans="5:16">
      <c r="E1903" s="147" t="s">
        <v>601</v>
      </c>
      <c r="F1903" s="136">
        <f ca="1">SUMIF($B$1:F$1858,$E1903,F$1:F$1858)</f>
        <v>35913336</v>
      </c>
      <c r="G1903" s="136">
        <f ca="1">SUMIF($B$1:G$1858,$E1903,G$1:G$1858)</f>
        <v>0</v>
      </c>
      <c r="H1903" s="136">
        <f ca="1">SUMIF($B$1:H$1858,$E1903,H$1:H$1858)</f>
        <v>1015749</v>
      </c>
      <c r="I1903" s="136">
        <f ca="1">SUMIF($B$1:I$1858,$E1903,I$1:I$1858)</f>
        <v>483851</v>
      </c>
      <c r="J1903" s="136">
        <f ca="1">SUMIF($B$1:J$1858,$E1903,J$1:J$1858)</f>
        <v>1044078</v>
      </c>
      <c r="K1903" s="136">
        <f ca="1">SUMIF($B$1:K$1858,$E1903,K$1:K$1858)</f>
        <v>38457014</v>
      </c>
      <c r="L1903" s="136">
        <f ca="1">SUMIF($B$1:L$1858,$E1903,L$1:L$1858)</f>
        <v>38560372</v>
      </c>
      <c r="M1903" s="136">
        <f t="shared" ca="1" si="255"/>
        <v>2647036</v>
      </c>
      <c r="N1903" s="157">
        <f t="shared" ca="1" si="256"/>
        <v>7.3706213201691989E-2</v>
      </c>
      <c r="O1903" s="136">
        <f t="shared" ca="1" si="257"/>
        <v>103358</v>
      </c>
      <c r="P1903" s="157">
        <f t="shared" ca="1" si="258"/>
        <v>2.6876241613558454E-3</v>
      </c>
    </row>
    <row r="1904" spans="5:16">
      <c r="E1904" s="147" t="s">
        <v>107</v>
      </c>
      <c r="F1904" s="136">
        <f ca="1">SUMIF($B$1:F$1858,$E1904,F$1:F$1858)</f>
        <v>75829407</v>
      </c>
      <c r="G1904" s="136">
        <f ca="1">SUMIF($B$1:G$1858,$E1904,G$1:G$1858)</f>
        <v>0</v>
      </c>
      <c r="H1904" s="136">
        <f ca="1">SUMIF($B$1:H$1858,$E1904,H$1:H$1858)</f>
        <v>10782594</v>
      </c>
      <c r="I1904" s="136">
        <f ca="1">SUMIF($B$1:I$1858,$E1904,I$1:I$1858)</f>
        <v>4816826</v>
      </c>
      <c r="J1904" s="136">
        <f ca="1">SUMIF($B$1:J$1858,$E1904,J$1:J$1858)</f>
        <v>992575</v>
      </c>
      <c r="K1904" s="136">
        <f ca="1">SUMIF($B$1:K$1858,$E1904,K$1:K$1858)</f>
        <v>92421402</v>
      </c>
      <c r="L1904" s="136">
        <f ca="1">SUMIF($B$1:L$1858,$E1904,L$1:L$1858)</f>
        <v>88619801</v>
      </c>
      <c r="M1904" s="136">
        <f t="shared" ca="1" si="255"/>
        <v>12790394</v>
      </c>
      <c r="N1904" s="157">
        <f t="shared" ca="1" si="256"/>
        <v>0.16867326946127906</v>
      </c>
      <c r="O1904" s="136">
        <f t="shared" ca="1" si="257"/>
        <v>-3801601</v>
      </c>
      <c r="P1904" s="157">
        <f t="shared" ca="1" si="258"/>
        <v>-4.1133340522144429E-2</v>
      </c>
    </row>
    <row r="1905" spans="5:16">
      <c r="E1905" s="10" t="s">
        <v>682</v>
      </c>
      <c r="F1905" s="136">
        <f ca="1">SUMIF($B$1:F$1858,$E1905,F$1:F$1858)</f>
        <v>27428628</v>
      </c>
      <c r="G1905" s="136">
        <f ca="1">SUMIF($B$1:G$1858,$E1905,G$1:G$1858)</f>
        <v>0</v>
      </c>
      <c r="H1905" s="136">
        <f ca="1">SUMIF($B$1:H$1858,$E1905,H$1:H$1858)</f>
        <v>1072201</v>
      </c>
      <c r="I1905" s="136">
        <f ca="1">SUMIF($B$1:I$1858,$E1905,I$1:I$1858)</f>
        <v>1256202</v>
      </c>
      <c r="J1905" s="136">
        <f ca="1">SUMIF($B$1:J$1858,$E1905,J$1:J$1858)</f>
        <v>326045</v>
      </c>
      <c r="K1905" s="136">
        <f ca="1">SUMIF($B$1:K$1858,$E1905,K$1:K$1858)</f>
        <v>30083076</v>
      </c>
      <c r="L1905" s="136">
        <f ca="1">SUMIF($B$1:L$1858,$E1905,L$1:L$1858)</f>
        <v>33203995</v>
      </c>
      <c r="M1905" s="136">
        <f t="shared" ca="1" si="255"/>
        <v>5775367</v>
      </c>
      <c r="N1905" s="157">
        <f t="shared" ca="1" si="256"/>
        <v>0.21055982092870268</v>
      </c>
      <c r="O1905" s="136">
        <f t="shared" ca="1" si="257"/>
        <v>3120919</v>
      </c>
      <c r="P1905" s="157">
        <f t="shared" ca="1" si="258"/>
        <v>0.10374334725611171</v>
      </c>
    </row>
    <row r="1906" spans="5:16">
      <c r="E1906" s="10" t="s">
        <v>684</v>
      </c>
      <c r="F1906" s="136">
        <f ca="1">SUMIF($B$1:F$1858,$E1906,F$1:F$1858)</f>
        <v>112946750</v>
      </c>
      <c r="G1906" s="136">
        <f ca="1">SUMIF($B$1:G$1858,$E1906,G$1:G$1858)</f>
        <v>0</v>
      </c>
      <c r="H1906" s="136">
        <f ca="1">SUMIF($B$1:H$1858,$E1906,H$1:H$1858)</f>
        <v>729862</v>
      </c>
      <c r="I1906" s="136">
        <f ca="1">SUMIF($B$1:I$1858,$E1906,I$1:I$1858)</f>
        <v>16312178</v>
      </c>
      <c r="J1906" s="136">
        <f ca="1">SUMIF($B$1:J$1858,$E1906,J$1:J$1858)</f>
        <v>140128</v>
      </c>
      <c r="K1906" s="136">
        <f ca="1">SUMIF($B$1:K$1858,$E1906,K$1:K$1858)</f>
        <v>130128918</v>
      </c>
      <c r="L1906" s="136">
        <f ca="1">SUMIF($B$1:L$1858,$E1906,L$1:L$1858)</f>
        <v>129678146</v>
      </c>
      <c r="M1906" s="136">
        <f t="shared" ca="1" si="255"/>
        <v>16731396</v>
      </c>
      <c r="N1906" s="157">
        <f t="shared" ca="1" si="256"/>
        <v>0.14813525842930408</v>
      </c>
      <c r="O1906" s="136">
        <f t="shared" ca="1" si="257"/>
        <v>-450772</v>
      </c>
      <c r="P1906" s="157">
        <f t="shared" ca="1" si="258"/>
        <v>-3.4640417128497143E-3</v>
      </c>
    </row>
    <row r="1907" spans="5:16">
      <c r="E1907" s="10" t="s">
        <v>685</v>
      </c>
      <c r="F1907" s="136">
        <f ca="1">SUMIF($B$1:F$1858,$E1907,F$1:F$1858)</f>
        <v>63345331</v>
      </c>
      <c r="G1907" s="136">
        <f ca="1">SUMIF($B$1:G$1858,$E1907,G$1:G$1858)</f>
        <v>3000000</v>
      </c>
      <c r="H1907" s="136">
        <f ca="1">SUMIF($B$1:H$1858,$E1907,H$1:H$1858)</f>
        <v>1895938</v>
      </c>
      <c r="I1907" s="136">
        <f ca="1">SUMIF($B$1:I$1858,$E1907,I$1:I$1858)</f>
        <v>22260</v>
      </c>
      <c r="J1907" s="136">
        <f ca="1">SUMIF($B$1:J$1858,$E1907,J$1:J$1858)</f>
        <v>939936</v>
      </c>
      <c r="K1907" s="136">
        <f ca="1">SUMIF($B$1:K$1858,$E1907,K$1:K$1858)</f>
        <v>69203465</v>
      </c>
      <c r="L1907" s="136">
        <f ca="1">SUMIF($B$1:L$1858,$E1907,L$1:L$1858)</f>
        <v>78042403</v>
      </c>
      <c r="M1907" s="136">
        <f t="shared" ca="1" si="255"/>
        <v>14697072</v>
      </c>
      <c r="N1907" s="157">
        <f t="shared" ca="1" si="256"/>
        <v>0.23201507937498977</v>
      </c>
      <c r="O1907" s="136">
        <f t="shared" ca="1" si="257"/>
        <v>8838938</v>
      </c>
      <c r="P1907" s="157">
        <f t="shared" ca="1" si="258"/>
        <v>0.12772392249434331</v>
      </c>
    </row>
    <row r="1908" spans="5:16">
      <c r="E1908" s="147" t="s">
        <v>689</v>
      </c>
      <c r="F1908" s="136">
        <f ca="1">SUMIF($B$1:F$1858,$E1908,F$1:F$1858)</f>
        <v>4653907</v>
      </c>
      <c r="G1908" s="136">
        <f ca="1">SUMIF($B$1:G$1858,$E1908,G$1:G$1858)</f>
        <v>0</v>
      </c>
      <c r="H1908" s="136">
        <f ca="1">SUMIF($B$1:H$1858,$E1908,H$1:H$1858)</f>
        <v>654704</v>
      </c>
      <c r="I1908" s="136">
        <f ca="1">SUMIF($B$1:I$1858,$E1908,I$1:I$1858)</f>
        <v>-37932</v>
      </c>
      <c r="J1908" s="136">
        <f ca="1">SUMIF($B$1:J$1858,$E1908,J$1:J$1858)</f>
        <v>285284</v>
      </c>
      <c r="K1908" s="136">
        <f ca="1">SUMIF($B$1:K$1858,$E1908,K$1:K$1858)</f>
        <v>5555963</v>
      </c>
      <c r="L1908" s="136">
        <f ca="1">SUMIF($B$1:L$1858,$E1908,L$1:L$1858)</f>
        <v>5535300</v>
      </c>
      <c r="M1908" s="136">
        <f t="shared" ca="1" si="255"/>
        <v>881393</v>
      </c>
      <c r="N1908" s="157">
        <f t="shared" ca="1" si="256"/>
        <v>0.18938775527744753</v>
      </c>
      <c r="O1908" s="136">
        <f t="shared" ca="1" si="257"/>
        <v>-20663</v>
      </c>
      <c r="P1908" s="157">
        <f t="shared" ca="1" si="258"/>
        <v>-3.7190672436083539E-3</v>
      </c>
    </row>
    <row r="1909" spans="5:16">
      <c r="E1909" s="147" t="s">
        <v>691</v>
      </c>
      <c r="F1909" s="136">
        <f ca="1">SUMIF($B$1:F$1858,$E1909,F$1:F$1858)</f>
        <v>6211454</v>
      </c>
      <c r="G1909" s="136">
        <f ca="1">SUMIF($B$1:G$1858,$E1909,G$1:G$1858)</f>
        <v>0</v>
      </c>
      <c r="H1909" s="136">
        <f ca="1">SUMIF($B$1:H$1858,$E1909,H$1:H$1858)</f>
        <v>42473</v>
      </c>
      <c r="I1909" s="136">
        <f ca="1">SUMIF($B$1:I$1858,$E1909,I$1:I$1858)</f>
        <v>13016</v>
      </c>
      <c r="J1909" s="136">
        <f ca="1">SUMIF($B$1:J$1858,$E1909,J$1:J$1858)</f>
        <v>359553</v>
      </c>
      <c r="K1909" s="136">
        <f ca="1">SUMIF($B$1:K$1858,$E1909,K$1:K$1858)</f>
        <v>6626496</v>
      </c>
      <c r="L1909" s="136">
        <f ca="1">SUMIF($B$1:L$1858,$E1909,L$1:L$1858)</f>
        <v>6687191</v>
      </c>
      <c r="M1909" s="136">
        <f t="shared" ca="1" si="255"/>
        <v>475737</v>
      </c>
      <c r="N1909" s="157">
        <f t="shared" ca="1" si="256"/>
        <v>7.6590279828201255E-2</v>
      </c>
      <c r="O1909" s="136">
        <f t="shared" ca="1" si="257"/>
        <v>60695</v>
      </c>
      <c r="P1909" s="157">
        <f t="shared" ca="1" si="258"/>
        <v>9.1594411284636711E-3</v>
      </c>
    </row>
    <row r="1910" spans="5:16">
      <c r="E1910" s="147" t="s">
        <v>166</v>
      </c>
      <c r="F1910" s="136">
        <f ca="1">SUMIF($B$1:F$1858,$E1910,F$1:F$1858)</f>
        <v>2687764</v>
      </c>
      <c r="G1910" s="136">
        <f ca="1">SUMIF($B$1:G$1858,$E1910,G$1:G$1858)</f>
        <v>0</v>
      </c>
      <c r="H1910" s="136">
        <f ca="1">SUMIF($B$1:H$1858,$E1910,H$1:H$1858)</f>
        <v>41818</v>
      </c>
      <c r="I1910" s="136">
        <f ca="1">SUMIF($B$1:I$1858,$E1910,I$1:I$1858)</f>
        <v>62795</v>
      </c>
      <c r="J1910" s="136">
        <f ca="1">SUMIF($B$1:J$1858,$E1910,J$1:J$1858)</f>
        <v>192610</v>
      </c>
      <c r="K1910" s="136">
        <f ca="1">SUMIF($B$1:K$1858,$E1910,K$1:K$1858)</f>
        <v>2984987</v>
      </c>
      <c r="L1910" s="136">
        <f ca="1">SUMIF($B$1:L$1858,$E1910,L$1:L$1858)</f>
        <v>3095165</v>
      </c>
      <c r="M1910" s="136">
        <f t="shared" ca="1" si="255"/>
        <v>407401</v>
      </c>
      <c r="N1910" s="157">
        <f t="shared" ca="1" si="256"/>
        <v>0.15157618005152237</v>
      </c>
      <c r="O1910" s="136">
        <f t="shared" ca="1" si="257"/>
        <v>110178</v>
      </c>
      <c r="P1910" s="157">
        <f t="shared" ca="1" si="258"/>
        <v>3.6910713513995205E-2</v>
      </c>
    </row>
    <row r="1911" spans="5:16">
      <c r="E1911" s="147" t="s">
        <v>349</v>
      </c>
      <c r="F1911" s="136">
        <f ca="1">SUMIF($B$1:F$1858,$E1911,F$1:F$1858)</f>
        <v>6391786</v>
      </c>
      <c r="G1911" s="136">
        <f ca="1">SUMIF($B$1:G$1858,$E1911,G$1:G$1858)</f>
        <v>0</v>
      </c>
      <c r="H1911" s="136">
        <f ca="1">SUMIF($B$1:H$1858,$E1911,H$1:H$1858)</f>
        <v>268032</v>
      </c>
      <c r="I1911" s="136">
        <f ca="1">SUMIF($B$1:I$1858,$E1911,I$1:I$1858)</f>
        <v>83822</v>
      </c>
      <c r="J1911" s="136">
        <f ca="1">SUMIF($B$1:J$1858,$E1911,J$1:J$1858)</f>
        <v>286493</v>
      </c>
      <c r="K1911" s="136">
        <f ca="1">SUMIF($B$1:K$1858,$E1911,K$1:K$1858)</f>
        <v>7030133</v>
      </c>
      <c r="L1911" s="136">
        <f ca="1">SUMIF($B$1:L$1858,$E1911,L$1:L$1858)</f>
        <v>6940287</v>
      </c>
      <c r="M1911" s="136">
        <f t="shared" ca="1" si="255"/>
        <v>548501</v>
      </c>
      <c r="N1911" s="157">
        <f t="shared" ca="1" si="256"/>
        <v>8.5813417407904463E-2</v>
      </c>
      <c r="O1911" s="136">
        <f t="shared" ca="1" si="257"/>
        <v>-89846</v>
      </c>
      <c r="P1911" s="157">
        <f t="shared" ca="1" si="258"/>
        <v>-1.2780128057321248E-2</v>
      </c>
    </row>
    <row r="1912" spans="5:16">
      <c r="E1912" s="147" t="s">
        <v>173</v>
      </c>
      <c r="F1912" s="136">
        <f ca="1">SUMIF($B$1:F$1858,$E1912,F$1:F$1858)</f>
        <v>2844586</v>
      </c>
      <c r="G1912" s="136">
        <f ca="1">SUMIF($B$1:G$1858,$E1912,G$1:G$1858)</f>
        <v>0</v>
      </c>
      <c r="H1912" s="136">
        <f ca="1">SUMIF($B$1:H$1858,$E1912,H$1:H$1858)</f>
        <v>50972</v>
      </c>
      <c r="I1912" s="136">
        <f ca="1">SUMIF($B$1:I$1858,$E1912,I$1:I$1858)</f>
        <v>25530</v>
      </c>
      <c r="J1912" s="136">
        <f ca="1">SUMIF($B$1:J$1858,$E1912,J$1:J$1858)</f>
        <v>213858</v>
      </c>
      <c r="K1912" s="136">
        <f ca="1">SUMIF($B$1:K$1858,$E1912,K$1:K$1858)</f>
        <v>3134946</v>
      </c>
      <c r="L1912" s="136">
        <f ca="1">SUMIF($B$1:L$1858,$E1912,L$1:L$1858)</f>
        <v>3141907</v>
      </c>
      <c r="M1912" s="136">
        <f t="shared" ca="1" si="255"/>
        <v>297321</v>
      </c>
      <c r="N1912" s="157">
        <f t="shared" ca="1" si="256"/>
        <v>0.10452171247415265</v>
      </c>
      <c r="O1912" s="136">
        <f t="shared" ca="1" si="257"/>
        <v>6961</v>
      </c>
      <c r="P1912" s="157">
        <f t="shared" ca="1" si="258"/>
        <v>2.2204529200821961E-3</v>
      </c>
    </row>
    <row r="1913" spans="5:16">
      <c r="E1913" s="147" t="s">
        <v>174</v>
      </c>
      <c r="F1913" s="136">
        <f ca="1">SUMIF($B$1:F$1858,$E1913,F$1:F$1858)</f>
        <v>6757048</v>
      </c>
      <c r="G1913" s="136">
        <f ca="1">SUMIF($B$1:G$1858,$E1913,G$1:G$1858)</f>
        <v>0</v>
      </c>
      <c r="H1913" s="136">
        <f ca="1">SUMIF($B$1:H$1858,$E1913,H$1:H$1858)</f>
        <v>110597</v>
      </c>
      <c r="I1913" s="136">
        <f ca="1">SUMIF($B$1:I$1858,$E1913,I$1:I$1858)</f>
        <v>209125</v>
      </c>
      <c r="J1913" s="136">
        <f ca="1">SUMIF($B$1:J$1858,$E1913,J$1:J$1858)</f>
        <v>473475</v>
      </c>
      <c r="K1913" s="136">
        <f ca="1">SUMIF($B$1:K$1858,$E1913,K$1:K$1858)</f>
        <v>7550245</v>
      </c>
      <c r="L1913" s="136">
        <f ca="1">SUMIF($B$1:L$1858,$E1913,L$1:L$1858)</f>
        <v>7117257</v>
      </c>
      <c r="M1913" s="136">
        <f t="shared" ca="1" si="255"/>
        <v>360209</v>
      </c>
      <c r="N1913" s="157">
        <f t="shared" ca="1" si="256"/>
        <v>5.3308634184632109E-2</v>
      </c>
      <c r="O1913" s="136">
        <f t="shared" ca="1" si="257"/>
        <v>-432988</v>
      </c>
      <c r="P1913" s="157">
        <f t="shared" ca="1" si="258"/>
        <v>-5.7347543026749465E-2</v>
      </c>
    </row>
    <row r="1914" spans="5:16">
      <c r="E1914" s="147" t="s">
        <v>175</v>
      </c>
      <c r="F1914" s="136">
        <f ca="1">SUMIF($B$1:F$1858,$E1914,F$1:F$1858)</f>
        <v>4711675</v>
      </c>
      <c r="G1914" s="136">
        <f ca="1">SUMIF($B$1:G$1858,$E1914,G$1:G$1858)</f>
        <v>0</v>
      </c>
      <c r="H1914" s="136">
        <f ca="1">SUMIF($B$1:H$1858,$E1914,H$1:H$1858)</f>
        <v>41748</v>
      </c>
      <c r="I1914" s="136">
        <f ca="1">SUMIF($B$1:I$1858,$E1914,I$1:I$1858)</f>
        <v>132308</v>
      </c>
      <c r="J1914" s="136">
        <f ca="1">SUMIF($B$1:J$1858,$E1914,J$1:J$1858)</f>
        <v>274397</v>
      </c>
      <c r="K1914" s="136">
        <f ca="1">SUMIF($B$1:K$1858,$E1914,K$1:K$1858)</f>
        <v>5160128</v>
      </c>
      <c r="L1914" s="136">
        <f ca="1">SUMIF($B$1:L$1858,$E1914,L$1:L$1858)</f>
        <v>5217075</v>
      </c>
      <c r="M1914" s="136">
        <f t="shared" ca="1" si="255"/>
        <v>505400</v>
      </c>
      <c r="N1914" s="157">
        <f t="shared" ca="1" si="256"/>
        <v>0.10726546291923784</v>
      </c>
      <c r="O1914" s="136">
        <f t="shared" ca="1" si="257"/>
        <v>56947</v>
      </c>
      <c r="P1914" s="157">
        <f t="shared" ca="1" si="258"/>
        <v>1.1035966549666985E-2</v>
      </c>
    </row>
    <row r="1915" spans="5:16">
      <c r="E1915" s="147" t="s">
        <v>176</v>
      </c>
      <c r="F1915" s="136">
        <f ca="1">SUMIF($B$1:F$1858,$E1915,F$1:F$1858)</f>
        <v>3737565</v>
      </c>
      <c r="G1915" s="136">
        <f ca="1">SUMIF($B$1:G$1858,$E1915,G$1:G$1858)</f>
        <v>0</v>
      </c>
      <c r="H1915" s="136">
        <f ca="1">SUMIF($B$1:H$1858,$E1915,H$1:H$1858)</f>
        <v>77242</v>
      </c>
      <c r="I1915" s="136">
        <f ca="1">SUMIF($B$1:I$1858,$E1915,I$1:I$1858)</f>
        <v>126441</v>
      </c>
      <c r="J1915" s="136">
        <f ca="1">SUMIF($B$1:J$1858,$E1915,J$1:J$1858)</f>
        <v>251112</v>
      </c>
      <c r="K1915" s="136">
        <f ca="1">SUMIF($B$1:K$1858,$E1915,K$1:K$1858)</f>
        <v>4192360</v>
      </c>
      <c r="L1915" s="136">
        <f ca="1">SUMIF($B$1:L$1858,$E1915,L$1:L$1858)</f>
        <v>4327638</v>
      </c>
      <c r="M1915" s="136">
        <f t="shared" ca="1" si="255"/>
        <v>590073</v>
      </c>
      <c r="N1915" s="157">
        <f t="shared" ca="1" si="256"/>
        <v>0.1578763178700571</v>
      </c>
      <c r="O1915" s="136">
        <f t="shared" ca="1" si="257"/>
        <v>135278</v>
      </c>
      <c r="P1915" s="157">
        <f t="shared" ca="1" si="258"/>
        <v>3.2267744182274426E-2</v>
      </c>
    </row>
    <row r="1916" spans="5:16">
      <c r="E1916" s="147" t="s">
        <v>177</v>
      </c>
      <c r="F1916" s="136">
        <f ca="1">SUMIF($B$1:F$1858,$E1916,F$1:F$1858)</f>
        <v>2301932</v>
      </c>
      <c r="G1916" s="136">
        <f ca="1">SUMIF($B$1:G$1858,$E1916,G$1:G$1858)</f>
        <v>0</v>
      </c>
      <c r="H1916" s="136">
        <f ca="1">SUMIF($B$1:H$1858,$E1916,H$1:H$1858)</f>
        <v>113819</v>
      </c>
      <c r="I1916" s="136">
        <f ca="1">SUMIF($B$1:I$1858,$E1916,I$1:I$1858)</f>
        <v>-536</v>
      </c>
      <c r="J1916" s="136">
        <f ca="1">SUMIF($B$1:J$1858,$E1916,J$1:J$1858)</f>
        <v>125496</v>
      </c>
      <c r="K1916" s="136">
        <f ca="1">SUMIF($B$1:K$1858,$E1916,K$1:K$1858)</f>
        <v>2540711</v>
      </c>
      <c r="L1916" s="136">
        <f ca="1">SUMIF($B$1:L$1858,$E1916,L$1:L$1858)</f>
        <v>2506643</v>
      </c>
      <c r="M1916" s="136">
        <f t="shared" ca="1" si="255"/>
        <v>204711</v>
      </c>
      <c r="N1916" s="157">
        <f t="shared" ca="1" si="256"/>
        <v>8.893008134036974E-2</v>
      </c>
      <c r="O1916" s="136">
        <f t="shared" ca="1" si="257"/>
        <v>-34068</v>
      </c>
      <c r="P1916" s="157">
        <f t="shared" ca="1" si="258"/>
        <v>-1.3408845004410183E-2</v>
      </c>
    </row>
    <row r="1917" spans="5:16">
      <c r="E1917" s="147" t="s">
        <v>178</v>
      </c>
      <c r="F1917" s="136">
        <f ca="1">SUMIF($B$1:F$1858,$E1917,F$1:F$1858)</f>
        <v>6430096</v>
      </c>
      <c r="G1917" s="136">
        <f ca="1">SUMIF($B$1:G$1858,$E1917,G$1:G$1858)</f>
        <v>0</v>
      </c>
      <c r="H1917" s="136">
        <f ca="1">SUMIF($B$1:H$1858,$E1917,H$1:H$1858)</f>
        <v>276644</v>
      </c>
      <c r="I1917" s="136">
        <f ca="1">SUMIF($B$1:I$1858,$E1917,I$1:I$1858)</f>
        <v>717726</v>
      </c>
      <c r="J1917" s="136">
        <f ca="1">SUMIF($B$1:J$1858,$E1917,J$1:J$1858)</f>
        <v>356142</v>
      </c>
      <c r="K1917" s="136">
        <f ca="1">SUMIF($B$1:K$1858,$E1917,K$1:K$1858)</f>
        <v>7780608</v>
      </c>
      <c r="L1917" s="136">
        <f ca="1">SUMIF($B$1:L$1858,$E1917,L$1:L$1858)</f>
        <v>7364382</v>
      </c>
      <c r="M1917" s="136">
        <f t="shared" ca="1" si="255"/>
        <v>934286</v>
      </c>
      <c r="N1917" s="157">
        <f t="shared" ca="1" si="256"/>
        <v>0.14529891933184202</v>
      </c>
      <c r="O1917" s="136">
        <f t="shared" ca="1" si="257"/>
        <v>-416226</v>
      </c>
      <c r="P1917" s="157">
        <f t="shared" ca="1" si="258"/>
        <v>-5.3495305251209158E-2</v>
      </c>
    </row>
    <row r="1918" spans="5:16">
      <c r="E1918" s="146" t="s">
        <v>713</v>
      </c>
      <c r="F1918" s="123">
        <f t="shared" ref="F1918" ca="1" si="275">SUM(F1898:F1917)</f>
        <v>711316426</v>
      </c>
      <c r="G1918" s="123">
        <f t="shared" ref="G1918:L1918" ca="1" si="276">SUM(G1898:G1917)</f>
        <v>5995830</v>
      </c>
      <c r="H1918" s="123">
        <f t="shared" ca="1" si="276"/>
        <v>19678187</v>
      </c>
      <c r="I1918" s="123">
        <f t="shared" ca="1" si="276"/>
        <v>29385343</v>
      </c>
      <c r="J1918" s="123">
        <f t="shared" ca="1" si="276"/>
        <v>8016279</v>
      </c>
      <c r="K1918" s="123">
        <f t="shared" ca="1" si="276"/>
        <v>774392065</v>
      </c>
      <c r="L1918" s="123">
        <f t="shared" ca="1" si="276"/>
        <v>841636492</v>
      </c>
      <c r="M1918" s="123">
        <f t="shared" ca="1" si="255"/>
        <v>130320066</v>
      </c>
      <c r="N1918" s="160">
        <f t="shared" ca="1" si="256"/>
        <v>0.18320969576484938</v>
      </c>
      <c r="O1918" s="123">
        <f t="shared" ca="1" si="257"/>
        <v>67244427</v>
      </c>
      <c r="P1918" s="160">
        <f t="shared" ca="1" si="258"/>
        <v>8.683511884900319E-2</v>
      </c>
    </row>
    <row r="1919" spans="5:16">
      <c r="E1919" s="147" t="s">
        <v>702</v>
      </c>
      <c r="F1919" s="136">
        <f>F1831</f>
        <v>3000000</v>
      </c>
      <c r="G1919" s="136">
        <f t="shared" ref="G1919:L1919" si="277">G1831</f>
        <v>0</v>
      </c>
      <c r="H1919" s="136">
        <f t="shared" si="277"/>
        <v>0</v>
      </c>
      <c r="I1919" s="136">
        <f t="shared" si="277"/>
        <v>0</v>
      </c>
      <c r="J1919" s="136">
        <f t="shared" si="277"/>
        <v>0</v>
      </c>
      <c r="K1919" s="136">
        <f t="shared" si="277"/>
        <v>3000000</v>
      </c>
      <c r="L1919" s="136">
        <f t="shared" si="277"/>
        <v>5000000</v>
      </c>
      <c r="M1919" s="136">
        <f t="shared" si="255"/>
        <v>2000000</v>
      </c>
      <c r="N1919" s="157">
        <f t="shared" si="256"/>
        <v>0.66666666666666663</v>
      </c>
      <c r="O1919" s="136">
        <f t="shared" si="257"/>
        <v>2000000</v>
      </c>
      <c r="P1919" s="157">
        <f t="shared" si="258"/>
        <v>0.66666666666666663</v>
      </c>
    </row>
    <row r="1920" spans="5:16">
      <c r="E1920" s="147" t="s">
        <v>714</v>
      </c>
      <c r="F1920" s="136">
        <f>F1834</f>
        <v>704000</v>
      </c>
      <c r="G1920" s="136">
        <f t="shared" ref="G1920:L1920" si="278">G1834</f>
        <v>1500000</v>
      </c>
      <c r="H1920" s="136">
        <f t="shared" si="278"/>
        <v>0</v>
      </c>
      <c r="I1920" s="136">
        <f t="shared" si="278"/>
        <v>-40780</v>
      </c>
      <c r="J1920" s="136">
        <f t="shared" si="278"/>
        <v>0</v>
      </c>
      <c r="K1920" s="136">
        <f t="shared" si="278"/>
        <v>2163220</v>
      </c>
      <c r="L1920" s="136">
        <f t="shared" si="278"/>
        <v>704000</v>
      </c>
      <c r="M1920" s="136">
        <f t="shared" si="255"/>
        <v>0</v>
      </c>
      <c r="N1920" s="157">
        <f t="shared" si="256"/>
        <v>0</v>
      </c>
      <c r="O1920" s="136">
        <f t="shared" si="257"/>
        <v>-1459220</v>
      </c>
      <c r="P1920" s="157">
        <f t="shared" si="258"/>
        <v>-0.67455922190068507</v>
      </c>
    </row>
    <row r="1921" spans="5:16">
      <c r="E1921" s="147" t="s">
        <v>704</v>
      </c>
      <c r="F1921" s="136">
        <f>F1836</f>
        <v>1500000</v>
      </c>
      <c r="G1921" s="136">
        <f t="shared" ref="G1921:L1921" si="279">G1836</f>
        <v>0</v>
      </c>
      <c r="H1921" s="136">
        <f t="shared" si="279"/>
        <v>-1000000</v>
      </c>
      <c r="I1921" s="136">
        <f t="shared" si="279"/>
        <v>0</v>
      </c>
      <c r="J1921" s="136">
        <f t="shared" si="279"/>
        <v>0</v>
      </c>
      <c r="K1921" s="136">
        <f t="shared" si="279"/>
        <v>500000</v>
      </c>
      <c r="L1921" s="136">
        <f t="shared" si="279"/>
        <v>1000000</v>
      </c>
      <c r="M1921" s="136">
        <f t="shared" si="255"/>
        <v>-500000</v>
      </c>
      <c r="N1921" s="157">
        <f t="shared" si="256"/>
        <v>-0.33333333333333331</v>
      </c>
      <c r="O1921" s="136">
        <f t="shared" si="257"/>
        <v>500000</v>
      </c>
      <c r="P1921" s="157">
        <f t="shared" si="258"/>
        <v>1</v>
      </c>
    </row>
    <row r="1922" spans="5:16">
      <c r="E1922" s="475" t="s">
        <v>705</v>
      </c>
      <c r="F1922" s="136">
        <f>F1837</f>
        <v>2000000</v>
      </c>
      <c r="G1922" s="136">
        <f t="shared" ref="G1922:L1922" si="280">G1837</f>
        <v>0</v>
      </c>
      <c r="H1922" s="136">
        <f t="shared" si="280"/>
        <v>-1000000</v>
      </c>
      <c r="I1922" s="136">
        <f t="shared" si="280"/>
        <v>0</v>
      </c>
      <c r="J1922" s="136">
        <f t="shared" si="280"/>
        <v>0</v>
      </c>
      <c r="K1922" s="136">
        <f t="shared" si="280"/>
        <v>1000000</v>
      </c>
      <c r="L1922" s="136">
        <f t="shared" si="280"/>
        <v>1000000</v>
      </c>
      <c r="M1922" s="136">
        <f t="shared" si="255"/>
        <v>-1000000</v>
      </c>
      <c r="N1922" s="157">
        <f t="shared" si="256"/>
        <v>-0.5</v>
      </c>
      <c r="O1922" s="136">
        <f t="shared" si="257"/>
        <v>0</v>
      </c>
      <c r="P1922" s="157">
        <f t="shared" si="258"/>
        <v>0</v>
      </c>
    </row>
    <row r="1923" spans="5:16">
      <c r="E1923" s="147" t="s">
        <v>706</v>
      </c>
      <c r="F1923" s="136">
        <f>F1839</f>
        <v>1500000</v>
      </c>
      <c r="G1923" s="136">
        <f t="shared" ref="G1923:L1923" si="281">G1839</f>
        <v>0</v>
      </c>
      <c r="H1923" s="136">
        <f t="shared" si="281"/>
        <v>-1080000</v>
      </c>
      <c r="I1923" s="136">
        <f t="shared" si="281"/>
        <v>-127753</v>
      </c>
      <c r="J1923" s="136">
        <f t="shared" si="281"/>
        <v>0</v>
      </c>
      <c r="K1923" s="136">
        <f t="shared" si="281"/>
        <v>292247</v>
      </c>
      <c r="L1923" s="136">
        <f t="shared" si="281"/>
        <v>1000000</v>
      </c>
      <c r="M1923" s="136">
        <f t="shared" si="255"/>
        <v>-500000</v>
      </c>
      <c r="N1923" s="157">
        <f t="shared" si="256"/>
        <v>-0.33333333333333331</v>
      </c>
      <c r="O1923" s="136">
        <f t="shared" si="257"/>
        <v>707753</v>
      </c>
      <c r="P1923" s="157">
        <f t="shared" si="258"/>
        <v>2.421763097653697</v>
      </c>
    </row>
    <row r="1924" spans="5:16" ht="26.4">
      <c r="E1924" s="477" t="s">
        <v>605</v>
      </c>
      <c r="F1924" s="136">
        <f>F1838</f>
        <v>1000000</v>
      </c>
      <c r="G1924" s="136">
        <f t="shared" ref="G1924:L1924" si="282">G1838</f>
        <v>0</v>
      </c>
      <c r="H1924" s="136">
        <f t="shared" si="282"/>
        <v>0</v>
      </c>
      <c r="I1924" s="136">
        <f t="shared" si="282"/>
        <v>0</v>
      </c>
      <c r="J1924" s="136">
        <f t="shared" si="282"/>
        <v>0</v>
      </c>
      <c r="K1924" s="136">
        <f t="shared" si="282"/>
        <v>1000000</v>
      </c>
      <c r="L1924" s="136">
        <f t="shared" si="282"/>
        <v>1000000</v>
      </c>
      <c r="M1924" s="136">
        <f t="shared" si="255"/>
        <v>0</v>
      </c>
      <c r="N1924" s="157">
        <f t="shared" si="256"/>
        <v>0</v>
      </c>
      <c r="O1924" s="136">
        <f t="shared" si="257"/>
        <v>0</v>
      </c>
      <c r="P1924" s="157">
        <f t="shared" si="258"/>
        <v>0</v>
      </c>
    </row>
    <row r="1925" spans="5:16">
      <c r="E1925" s="147" t="s">
        <v>645</v>
      </c>
      <c r="F1925" s="136">
        <f>F1842</f>
        <v>6430000</v>
      </c>
      <c r="G1925" s="136">
        <f t="shared" ref="G1925:L1925" si="283">G1842</f>
        <v>2347170</v>
      </c>
      <c r="H1925" s="136">
        <f t="shared" si="283"/>
        <v>0</v>
      </c>
      <c r="I1925" s="136">
        <f t="shared" si="283"/>
        <v>0</v>
      </c>
      <c r="J1925" s="136">
        <f t="shared" si="283"/>
        <v>-8016279</v>
      </c>
      <c r="K1925" s="136">
        <f t="shared" si="283"/>
        <v>760891</v>
      </c>
      <c r="L1925" s="136">
        <f t="shared" si="283"/>
        <v>13750000</v>
      </c>
      <c r="M1925" s="136">
        <f t="shared" si="255"/>
        <v>7320000</v>
      </c>
      <c r="N1925" s="157">
        <f t="shared" si="256"/>
        <v>1.1384136858475895</v>
      </c>
      <c r="O1925" s="136">
        <f t="shared" si="257"/>
        <v>12989109</v>
      </c>
      <c r="P1925" s="157">
        <f t="shared" si="258"/>
        <v>17.070919487811</v>
      </c>
    </row>
    <row r="1926" spans="5:16">
      <c r="E1926" s="147" t="s">
        <v>1189</v>
      </c>
      <c r="F1926" s="136">
        <f>F1844</f>
        <v>0</v>
      </c>
      <c r="G1926" s="136">
        <f t="shared" ref="G1926:L1926" si="284">G1844</f>
        <v>0</v>
      </c>
      <c r="H1926" s="136">
        <f t="shared" si="284"/>
        <v>18000000</v>
      </c>
      <c r="I1926" s="136">
        <f t="shared" si="284"/>
        <v>9000000</v>
      </c>
      <c r="J1926" s="136">
        <f t="shared" si="284"/>
        <v>0</v>
      </c>
      <c r="K1926" s="136">
        <f t="shared" si="284"/>
        <v>27000000</v>
      </c>
      <c r="L1926" s="136">
        <f t="shared" si="284"/>
        <v>18000000</v>
      </c>
      <c r="M1926" s="136">
        <f t="shared" ref="M1926:M1989" si="285">L1926-F1926</f>
        <v>18000000</v>
      </c>
      <c r="N1926" s="136"/>
      <c r="O1926" s="136">
        <f t="shared" ref="O1926:O1989" si="286">L1926-K1926</f>
        <v>-9000000</v>
      </c>
      <c r="P1926" s="136">
        <f t="shared" ref="P1926:P1986" si="287">O1926/K1926</f>
        <v>-0.33333333333333331</v>
      </c>
    </row>
    <row r="1927" spans="5:16">
      <c r="E1927" s="147" t="s">
        <v>708</v>
      </c>
      <c r="F1927" s="136">
        <f>F1846</f>
        <v>19000000</v>
      </c>
      <c r="G1927" s="136">
        <f t="shared" ref="G1927:L1927" si="288">G1846</f>
        <v>0</v>
      </c>
      <c r="H1927" s="136">
        <f t="shared" si="288"/>
        <v>0</v>
      </c>
      <c r="I1927" s="136">
        <f t="shared" si="288"/>
        <v>0</v>
      </c>
      <c r="J1927" s="136">
        <f t="shared" si="288"/>
        <v>0</v>
      </c>
      <c r="K1927" s="136">
        <f t="shared" si="288"/>
        <v>19000000</v>
      </c>
      <c r="L1927" s="136">
        <f t="shared" si="288"/>
        <v>19000000</v>
      </c>
      <c r="M1927" s="136">
        <f t="shared" si="285"/>
        <v>0</v>
      </c>
      <c r="N1927" s="157">
        <f t="shared" ref="N1927:N1986" si="289">M1927/F1927</f>
        <v>0</v>
      </c>
      <c r="O1927" s="136">
        <f t="shared" si="286"/>
        <v>0</v>
      </c>
      <c r="P1927" s="157">
        <f t="shared" si="287"/>
        <v>0</v>
      </c>
    </row>
    <row r="1928" spans="5:16">
      <c r="E1928" s="146" t="s">
        <v>13</v>
      </c>
      <c r="F1928" s="123">
        <f ca="1">SUM(F1918:F1927)</f>
        <v>746450426</v>
      </c>
      <c r="G1928" s="123">
        <f t="shared" ref="G1928:L1928" ca="1" si="290">SUM(G1918:G1927)</f>
        <v>9843000</v>
      </c>
      <c r="H1928" s="123">
        <f t="shared" ca="1" si="290"/>
        <v>34598187</v>
      </c>
      <c r="I1928" s="123">
        <f t="shared" ca="1" si="290"/>
        <v>38216810</v>
      </c>
      <c r="J1928" s="123">
        <f t="shared" ca="1" si="290"/>
        <v>0</v>
      </c>
      <c r="K1928" s="123">
        <f t="shared" ca="1" si="290"/>
        <v>829108423</v>
      </c>
      <c r="L1928" s="123">
        <f t="shared" ca="1" si="290"/>
        <v>902090492</v>
      </c>
      <c r="M1928" s="123">
        <f t="shared" ca="1" si="285"/>
        <v>155640066</v>
      </c>
      <c r="N1928" s="160">
        <f t="shared" ca="1" si="289"/>
        <v>0.20850690223867593</v>
      </c>
      <c r="O1928" s="123">
        <f t="shared" ca="1" si="286"/>
        <v>72982069</v>
      </c>
      <c r="P1928" s="160">
        <f t="shared" ca="1" si="287"/>
        <v>8.8024758855935539E-2</v>
      </c>
    </row>
    <row r="1929" spans="5:16">
      <c r="E1929" s="147"/>
      <c r="F1929" s="136">
        <f ca="1">F1928-F1848</f>
        <v>0</v>
      </c>
      <c r="G1929" s="136">
        <f t="shared" ref="G1929:L1929" ca="1" si="291">G1928-G1848</f>
        <v>0</v>
      </c>
      <c r="H1929" s="136">
        <f t="shared" ca="1" si="291"/>
        <v>0</v>
      </c>
      <c r="I1929" s="136">
        <f t="shared" ca="1" si="291"/>
        <v>0</v>
      </c>
      <c r="J1929" s="136">
        <f t="shared" ca="1" si="291"/>
        <v>0</v>
      </c>
      <c r="K1929" s="136">
        <f t="shared" ca="1" si="291"/>
        <v>0</v>
      </c>
      <c r="L1929" s="136">
        <f t="shared" ca="1" si="291"/>
        <v>0</v>
      </c>
      <c r="M1929" s="136">
        <f t="shared" ca="1" si="285"/>
        <v>0</v>
      </c>
      <c r="N1929" s="157"/>
      <c r="O1929" s="136">
        <f t="shared" ca="1" si="286"/>
        <v>0</v>
      </c>
      <c r="P1929" s="157"/>
    </row>
    <row r="1930" spans="5:16">
      <c r="E1930" s="403" t="s">
        <v>715</v>
      </c>
      <c r="F1930" s="135"/>
      <c r="G1930" s="135"/>
      <c r="H1930" s="135"/>
      <c r="I1930" s="135"/>
      <c r="J1930" s="135"/>
      <c r="K1930" s="135"/>
      <c r="M1930" s="135">
        <f t="shared" si="285"/>
        <v>0</v>
      </c>
      <c r="N1930" s="157"/>
      <c r="O1930" s="135">
        <f t="shared" si="286"/>
        <v>0</v>
      </c>
      <c r="P1930" s="157"/>
    </row>
    <row r="1931" spans="5:16">
      <c r="E1931" s="147" t="s">
        <v>752</v>
      </c>
      <c r="F1931" s="136">
        <f t="shared" ref="F1931:L1931" si="292">F11</f>
        <v>2779249</v>
      </c>
      <c r="G1931" s="136">
        <f t="shared" si="292"/>
        <v>0</v>
      </c>
      <c r="H1931" s="136">
        <f t="shared" si="292"/>
        <v>137973</v>
      </c>
      <c r="I1931" s="136">
        <f t="shared" si="292"/>
        <v>8040</v>
      </c>
      <c r="J1931" s="136">
        <f t="shared" si="292"/>
        <v>91912</v>
      </c>
      <c r="K1931" s="136">
        <f t="shared" si="292"/>
        <v>3017174</v>
      </c>
      <c r="L1931" s="136">
        <f t="shared" si="292"/>
        <v>3083257</v>
      </c>
      <c r="M1931" s="136">
        <f t="shared" si="285"/>
        <v>304008</v>
      </c>
      <c r="N1931" s="157">
        <f t="shared" si="289"/>
        <v>0.10938494535754083</v>
      </c>
      <c r="O1931" s="136">
        <f t="shared" si="286"/>
        <v>66083</v>
      </c>
      <c r="P1931" s="157">
        <f t="shared" si="287"/>
        <v>2.1902283394991472E-2</v>
      </c>
    </row>
    <row r="1932" spans="5:16">
      <c r="E1932" s="147" t="s">
        <v>99</v>
      </c>
      <c r="F1932" s="136">
        <f t="shared" ref="F1932:L1932" si="293">F31</f>
        <v>7144817</v>
      </c>
      <c r="G1932" s="136">
        <f t="shared" si="293"/>
        <v>0</v>
      </c>
      <c r="H1932" s="136">
        <f t="shared" si="293"/>
        <v>75864</v>
      </c>
      <c r="I1932" s="136">
        <f t="shared" si="293"/>
        <v>297729</v>
      </c>
      <c r="J1932" s="136">
        <f t="shared" si="293"/>
        <v>287998</v>
      </c>
      <c r="K1932" s="136">
        <f t="shared" si="293"/>
        <v>7806408</v>
      </c>
      <c r="L1932" s="136">
        <f t="shared" si="293"/>
        <v>7920706</v>
      </c>
      <c r="M1932" s="136">
        <f t="shared" si="285"/>
        <v>775889</v>
      </c>
      <c r="N1932" s="157">
        <f t="shared" si="289"/>
        <v>0.10859466379614761</v>
      </c>
      <c r="O1932" s="136">
        <f t="shared" si="286"/>
        <v>114298</v>
      </c>
      <c r="P1932" s="157">
        <f t="shared" si="287"/>
        <v>1.4641561137977929E-2</v>
      </c>
    </row>
    <row r="1933" spans="5:16">
      <c r="E1933" s="10" t="s">
        <v>609</v>
      </c>
      <c r="F1933" s="136">
        <f>F77</f>
        <v>40116442</v>
      </c>
      <c r="G1933" s="136">
        <f t="shared" ref="G1933:L1933" si="294">G77</f>
        <v>0</v>
      </c>
      <c r="H1933" s="136">
        <f t="shared" si="294"/>
        <v>-507426</v>
      </c>
      <c r="I1933" s="136">
        <f t="shared" si="294"/>
        <v>-484707</v>
      </c>
      <c r="J1933" s="136">
        <f t="shared" si="294"/>
        <v>1137895</v>
      </c>
      <c r="K1933" s="136">
        <f t="shared" si="294"/>
        <v>40262204</v>
      </c>
      <c r="L1933" s="136">
        <f t="shared" si="294"/>
        <v>51838317</v>
      </c>
      <c r="M1933" s="136">
        <f t="shared" si="285"/>
        <v>11721875</v>
      </c>
      <c r="N1933" s="157">
        <f t="shared" si="289"/>
        <v>0.29219627702775836</v>
      </c>
      <c r="O1933" s="136">
        <f t="shared" si="286"/>
        <v>11576113</v>
      </c>
      <c r="P1933" s="157">
        <f t="shared" si="287"/>
        <v>0.28751811500433511</v>
      </c>
    </row>
    <row r="1934" spans="5:16">
      <c r="E1934" s="147" t="s">
        <v>100</v>
      </c>
      <c r="F1934" s="136">
        <f>F297</f>
        <v>1604247</v>
      </c>
      <c r="G1934" s="136">
        <f t="shared" ref="G1934:L1934" si="295">G297</f>
        <v>0</v>
      </c>
      <c r="H1934" s="136">
        <f t="shared" si="295"/>
        <v>76139</v>
      </c>
      <c r="I1934" s="136">
        <f t="shared" si="295"/>
        <v>-792</v>
      </c>
      <c r="J1934" s="136">
        <f t="shared" si="295"/>
        <v>69794</v>
      </c>
      <c r="K1934" s="136">
        <f t="shared" si="295"/>
        <v>1749388</v>
      </c>
      <c r="L1934" s="136">
        <f t="shared" si="295"/>
        <v>1746255</v>
      </c>
      <c r="M1934" s="136">
        <f t="shared" si="285"/>
        <v>142008</v>
      </c>
      <c r="N1934" s="157">
        <f t="shared" si="289"/>
        <v>8.8520034633070843E-2</v>
      </c>
      <c r="O1934" s="136">
        <f t="shared" si="286"/>
        <v>-3133</v>
      </c>
      <c r="P1934" s="157">
        <f t="shared" si="287"/>
        <v>-1.7909120218041967E-3</v>
      </c>
    </row>
    <row r="1935" spans="5:16">
      <c r="E1935" s="147" t="s">
        <v>48</v>
      </c>
      <c r="F1935" s="136">
        <f>F316</f>
        <v>142626832</v>
      </c>
      <c r="G1935" s="136">
        <f t="shared" ref="G1935:L1935" si="296">G316</f>
        <v>2995830</v>
      </c>
      <c r="H1935" s="136">
        <f t="shared" si="296"/>
        <v>933282</v>
      </c>
      <c r="I1935" s="136">
        <f t="shared" si="296"/>
        <v>-100448</v>
      </c>
      <c r="J1935" s="136">
        <f t="shared" si="296"/>
        <v>167498</v>
      </c>
      <c r="K1935" s="136">
        <f t="shared" si="296"/>
        <v>146622994</v>
      </c>
      <c r="L1935" s="136">
        <f t="shared" si="296"/>
        <v>175822809</v>
      </c>
      <c r="M1935" s="136">
        <f t="shared" si="285"/>
        <v>33195977</v>
      </c>
      <c r="N1935" s="157">
        <f t="shared" si="289"/>
        <v>0.23274706823748284</v>
      </c>
      <c r="O1935" s="136">
        <f t="shared" si="286"/>
        <v>29199815</v>
      </c>
      <c r="P1935" s="157">
        <f t="shared" si="287"/>
        <v>0.19914894794741403</v>
      </c>
    </row>
    <row r="1936" spans="5:16">
      <c r="E1936" s="147" t="s">
        <v>601</v>
      </c>
      <c r="F1936" s="136">
        <f>F464</f>
        <v>25528250</v>
      </c>
      <c r="G1936" s="136">
        <f t="shared" ref="G1936:L1936" si="297">G464</f>
        <v>0</v>
      </c>
      <c r="H1936" s="136">
        <f t="shared" si="297"/>
        <v>941516</v>
      </c>
      <c r="I1936" s="136">
        <f t="shared" si="297"/>
        <v>736001</v>
      </c>
      <c r="J1936" s="136">
        <f t="shared" si="297"/>
        <v>1044078</v>
      </c>
      <c r="K1936" s="136">
        <f t="shared" si="297"/>
        <v>28249845</v>
      </c>
      <c r="L1936" s="136">
        <f t="shared" si="297"/>
        <v>27771268</v>
      </c>
      <c r="M1936" s="136">
        <f t="shared" si="285"/>
        <v>2243018</v>
      </c>
      <c r="N1936" s="157">
        <f t="shared" si="289"/>
        <v>8.7864150499936344E-2</v>
      </c>
      <c r="O1936" s="136">
        <f t="shared" si="286"/>
        <v>-478577</v>
      </c>
      <c r="P1936" s="157">
        <f t="shared" si="287"/>
        <v>-1.694087171097753E-2</v>
      </c>
    </row>
    <row r="1937" spans="5:16">
      <c r="E1937" s="147"/>
      <c r="F1937" s="135"/>
      <c r="G1937" s="135"/>
      <c r="H1937" s="135"/>
      <c r="I1937" s="135"/>
      <c r="J1937" s="135"/>
      <c r="K1937" s="135"/>
      <c r="M1937" s="135">
        <f t="shared" si="285"/>
        <v>0</v>
      </c>
      <c r="N1937" s="157"/>
      <c r="O1937" s="135">
        <f t="shared" si="286"/>
        <v>0</v>
      </c>
      <c r="P1937" s="157"/>
    </row>
    <row r="1938" spans="5:16">
      <c r="E1938" s="147" t="s">
        <v>107</v>
      </c>
      <c r="F1938" s="136">
        <f>F663</f>
        <v>52536859</v>
      </c>
      <c r="G1938" s="136">
        <f t="shared" ref="G1938:L1938" si="298">G663</f>
        <v>0</v>
      </c>
      <c r="H1938" s="136">
        <f t="shared" si="298"/>
        <v>1749164</v>
      </c>
      <c r="I1938" s="136">
        <f t="shared" si="298"/>
        <v>2342435</v>
      </c>
      <c r="J1938" s="136">
        <f t="shared" si="298"/>
        <v>992575</v>
      </c>
      <c r="K1938" s="136">
        <f t="shared" si="298"/>
        <v>57621033</v>
      </c>
      <c r="L1938" s="136">
        <f t="shared" si="298"/>
        <v>63324479</v>
      </c>
      <c r="M1938" s="136">
        <f t="shared" si="285"/>
        <v>10787620</v>
      </c>
      <c r="N1938" s="157">
        <f t="shared" si="289"/>
        <v>0.20533431585622583</v>
      </c>
      <c r="O1938" s="136">
        <f t="shared" si="286"/>
        <v>5703446</v>
      </c>
      <c r="P1938" s="157">
        <f t="shared" si="287"/>
        <v>9.8982015820507765E-2</v>
      </c>
    </row>
    <row r="1939" spans="5:16">
      <c r="E1939" s="10" t="s">
        <v>682</v>
      </c>
      <c r="F1939" s="136">
        <f>F981</f>
        <v>20575628</v>
      </c>
      <c r="G1939" s="136">
        <f t="shared" ref="G1939:L1939" si="299">G981</f>
        <v>0</v>
      </c>
      <c r="H1939" s="136">
        <f t="shared" si="299"/>
        <v>-129799</v>
      </c>
      <c r="I1939" s="136">
        <f t="shared" si="299"/>
        <v>-13398</v>
      </c>
      <c r="J1939" s="136">
        <f t="shared" si="299"/>
        <v>326045</v>
      </c>
      <c r="K1939" s="136">
        <f t="shared" si="299"/>
        <v>20758476</v>
      </c>
      <c r="L1939" s="136">
        <f t="shared" si="299"/>
        <v>23710995</v>
      </c>
      <c r="M1939" s="136">
        <f t="shared" si="285"/>
        <v>3135367</v>
      </c>
      <c r="N1939" s="157">
        <f t="shared" si="289"/>
        <v>0.15238256640331951</v>
      </c>
      <c r="O1939" s="136">
        <f t="shared" si="286"/>
        <v>2952519</v>
      </c>
      <c r="P1939" s="157">
        <f t="shared" si="287"/>
        <v>0.14223197309860319</v>
      </c>
    </row>
    <row r="1940" spans="5:16">
      <c r="E1940" s="147"/>
      <c r="F1940" s="135"/>
      <c r="G1940" s="135"/>
      <c r="H1940" s="135"/>
      <c r="I1940" s="135"/>
      <c r="J1940" s="135"/>
      <c r="K1940" s="135"/>
      <c r="M1940" s="135">
        <f t="shared" si="285"/>
        <v>0</v>
      </c>
      <c r="N1940" s="157"/>
      <c r="O1940" s="135">
        <f t="shared" si="286"/>
        <v>0</v>
      </c>
      <c r="P1940" s="157"/>
    </row>
    <row r="1941" spans="5:16">
      <c r="E1941" s="10" t="s">
        <v>684</v>
      </c>
      <c r="F1941" s="136">
        <f>F1041</f>
        <v>109426774</v>
      </c>
      <c r="G1941" s="136">
        <f t="shared" ref="G1941:L1941" si="300">G1041</f>
        <v>0</v>
      </c>
      <c r="H1941" s="136">
        <f t="shared" si="300"/>
        <v>366293</v>
      </c>
      <c r="I1941" s="136">
        <f t="shared" si="300"/>
        <v>15696187</v>
      </c>
      <c r="J1941" s="136">
        <f t="shared" si="300"/>
        <v>140128</v>
      </c>
      <c r="K1941" s="136">
        <f t="shared" si="300"/>
        <v>125629382</v>
      </c>
      <c r="L1941" s="136">
        <f t="shared" si="300"/>
        <v>127907619</v>
      </c>
      <c r="M1941" s="136">
        <f t="shared" si="285"/>
        <v>18480845</v>
      </c>
      <c r="N1941" s="157">
        <f t="shared" si="289"/>
        <v>0.16888778060842768</v>
      </c>
      <c r="O1941" s="136">
        <f t="shared" si="286"/>
        <v>2278237</v>
      </c>
      <c r="P1941" s="157">
        <f t="shared" si="287"/>
        <v>1.8134587337220204E-2</v>
      </c>
    </row>
    <row r="1942" spans="5:16">
      <c r="E1942" s="10" t="s">
        <v>685</v>
      </c>
      <c r="F1942" s="136">
        <f>F1132</f>
        <v>59671761</v>
      </c>
      <c r="G1942" s="136">
        <f t="shared" ref="G1942:L1942" si="301">G1132</f>
        <v>3000000</v>
      </c>
      <c r="H1942" s="136">
        <f t="shared" si="301"/>
        <v>1917424</v>
      </c>
      <c r="I1942" s="136">
        <f t="shared" si="301"/>
        <v>-139590</v>
      </c>
      <c r="J1942" s="136">
        <f t="shared" si="301"/>
        <v>939936</v>
      </c>
      <c r="K1942" s="136">
        <f t="shared" si="301"/>
        <v>65389531</v>
      </c>
      <c r="L1942" s="136">
        <f t="shared" si="301"/>
        <v>73930833</v>
      </c>
      <c r="M1942" s="136">
        <f t="shared" si="285"/>
        <v>14259072</v>
      </c>
      <c r="N1942" s="157">
        <f t="shared" si="289"/>
        <v>0.23895845808874319</v>
      </c>
      <c r="O1942" s="136">
        <f t="shared" si="286"/>
        <v>8541302</v>
      </c>
      <c r="P1942" s="157">
        <f t="shared" si="287"/>
        <v>0.13062185749581229</v>
      </c>
    </row>
    <row r="1943" spans="5:16">
      <c r="E1943" s="147" t="s">
        <v>689</v>
      </c>
      <c r="F1943" s="136">
        <f>F1252</f>
        <v>4553925</v>
      </c>
      <c r="G1943" s="136">
        <f t="shared" ref="G1943:L1943" si="302">G1252</f>
        <v>0</v>
      </c>
      <c r="H1943" s="136">
        <f t="shared" si="302"/>
        <v>654704</v>
      </c>
      <c r="I1943" s="136">
        <f t="shared" si="302"/>
        <v>-37932</v>
      </c>
      <c r="J1943" s="136">
        <f t="shared" si="302"/>
        <v>285284</v>
      </c>
      <c r="K1943" s="136">
        <f t="shared" si="302"/>
        <v>5455981</v>
      </c>
      <c r="L1943" s="136">
        <f t="shared" si="302"/>
        <v>5437100</v>
      </c>
      <c r="M1943" s="136">
        <f t="shared" si="285"/>
        <v>883175</v>
      </c>
      <c r="N1943" s="157">
        <f t="shared" si="289"/>
        <v>0.19393709821747174</v>
      </c>
      <c r="O1943" s="136">
        <f t="shared" si="286"/>
        <v>-18881</v>
      </c>
      <c r="P1943" s="157">
        <f t="shared" si="287"/>
        <v>-3.4606058928724273E-3</v>
      </c>
    </row>
    <row r="1944" spans="5:16">
      <c r="E1944" s="147" t="s">
        <v>691</v>
      </c>
      <c r="F1944" s="136">
        <f>F1275</f>
        <v>6191454</v>
      </c>
      <c r="G1944" s="136">
        <f t="shared" ref="G1944:L1944" si="303">G1275</f>
        <v>0</v>
      </c>
      <c r="H1944" s="136">
        <f t="shared" si="303"/>
        <v>42473</v>
      </c>
      <c r="I1944" s="136">
        <f t="shared" si="303"/>
        <v>-21984</v>
      </c>
      <c r="J1944" s="136">
        <f t="shared" si="303"/>
        <v>359553</v>
      </c>
      <c r="K1944" s="136">
        <f t="shared" si="303"/>
        <v>6571496</v>
      </c>
      <c r="L1944" s="136">
        <f t="shared" si="303"/>
        <v>6664191</v>
      </c>
      <c r="M1944" s="136">
        <f t="shared" si="285"/>
        <v>472737</v>
      </c>
      <c r="N1944" s="157">
        <f t="shared" si="289"/>
        <v>7.6353147419006909E-2</v>
      </c>
      <c r="O1944" s="136">
        <f t="shared" si="286"/>
        <v>92695</v>
      </c>
      <c r="P1944" s="157">
        <f t="shared" si="287"/>
        <v>1.4105616133677933E-2</v>
      </c>
    </row>
    <row r="1945" spans="5:16">
      <c r="E1945" s="147" t="s">
        <v>166</v>
      </c>
      <c r="F1945" s="136">
        <f>F1305</f>
        <v>2204434</v>
      </c>
      <c r="G1945" s="136">
        <f t="shared" ref="G1945:L1945" si="304">G1305</f>
        <v>0</v>
      </c>
      <c r="H1945" s="136">
        <f t="shared" si="304"/>
        <v>25658</v>
      </c>
      <c r="I1945" s="136">
        <f t="shared" si="304"/>
        <v>48995</v>
      </c>
      <c r="J1945" s="136">
        <f t="shared" si="304"/>
        <v>192610</v>
      </c>
      <c r="K1945" s="136">
        <f t="shared" si="304"/>
        <v>2471697</v>
      </c>
      <c r="L1945" s="136">
        <f t="shared" si="304"/>
        <v>2516035</v>
      </c>
      <c r="M1945" s="136">
        <f t="shared" si="285"/>
        <v>311601</v>
      </c>
      <c r="N1945" s="157">
        <f t="shared" si="289"/>
        <v>0.14135192979240929</v>
      </c>
      <c r="O1945" s="136">
        <f t="shared" si="286"/>
        <v>44338</v>
      </c>
      <c r="P1945" s="157">
        <f t="shared" si="287"/>
        <v>1.7938282888234278E-2</v>
      </c>
    </row>
    <row r="1946" spans="5:16">
      <c r="E1946" s="147" t="s">
        <v>349</v>
      </c>
      <c r="F1946" s="136">
        <f>F1365</f>
        <v>1876486</v>
      </c>
      <c r="G1946" s="136">
        <f t="shared" ref="G1946:L1946" si="305">G1365</f>
        <v>0</v>
      </c>
      <c r="H1946" s="136">
        <f t="shared" si="305"/>
        <v>697872</v>
      </c>
      <c r="I1946" s="136">
        <f t="shared" si="305"/>
        <v>530112</v>
      </c>
      <c r="J1946" s="136">
        <f t="shared" si="305"/>
        <v>286493</v>
      </c>
      <c r="K1946" s="136">
        <f t="shared" si="305"/>
        <v>3390963</v>
      </c>
      <c r="L1946" s="136">
        <f t="shared" si="305"/>
        <v>2231787</v>
      </c>
      <c r="M1946" s="136">
        <f t="shared" si="285"/>
        <v>355301</v>
      </c>
      <c r="N1946" s="157">
        <f t="shared" si="289"/>
        <v>0.18934380538943535</v>
      </c>
      <c r="O1946" s="136">
        <f t="shared" si="286"/>
        <v>-1159176</v>
      </c>
      <c r="P1946" s="157">
        <f t="shared" si="287"/>
        <v>-0.34184271547640005</v>
      </c>
    </row>
    <row r="1947" spans="5:16">
      <c r="E1947" s="147" t="s">
        <v>173</v>
      </c>
      <c r="F1947" s="136">
        <f>F1448</f>
        <v>2507683</v>
      </c>
      <c r="G1947" s="136">
        <f t="shared" ref="G1947:L1947" si="306">G1448</f>
        <v>0</v>
      </c>
      <c r="H1947" s="136">
        <f t="shared" si="306"/>
        <v>43253</v>
      </c>
      <c r="I1947" s="136">
        <f t="shared" si="306"/>
        <v>14410</v>
      </c>
      <c r="J1947" s="136">
        <f t="shared" si="306"/>
        <v>213858</v>
      </c>
      <c r="K1947" s="136">
        <f t="shared" si="306"/>
        <v>2779204</v>
      </c>
      <c r="L1947" s="136">
        <f t="shared" si="306"/>
        <v>2804231</v>
      </c>
      <c r="M1947" s="136">
        <f t="shared" si="285"/>
        <v>296548</v>
      </c>
      <c r="N1947" s="157">
        <f t="shared" si="289"/>
        <v>0.11825577634812694</v>
      </c>
      <c r="O1947" s="136">
        <f t="shared" si="286"/>
        <v>25027</v>
      </c>
      <c r="P1947" s="157">
        <f t="shared" si="287"/>
        <v>9.0050964232924243E-3</v>
      </c>
    </row>
    <row r="1948" spans="5:16">
      <c r="E1948" s="147" t="s">
        <v>174</v>
      </c>
      <c r="F1948" s="136">
        <f>F1499</f>
        <v>5759473</v>
      </c>
      <c r="G1948" s="136">
        <f t="shared" ref="G1948:L1948" si="307">G1499</f>
        <v>0</v>
      </c>
      <c r="H1948" s="136">
        <f t="shared" si="307"/>
        <v>72817</v>
      </c>
      <c r="I1948" s="136">
        <f t="shared" si="307"/>
        <v>33375</v>
      </c>
      <c r="J1948" s="136">
        <f t="shared" si="307"/>
        <v>473475</v>
      </c>
      <c r="K1948" s="136">
        <f t="shared" si="307"/>
        <v>6339140</v>
      </c>
      <c r="L1948" s="136">
        <f t="shared" si="307"/>
        <v>6006632</v>
      </c>
      <c r="M1948" s="136">
        <f t="shared" si="285"/>
        <v>247159</v>
      </c>
      <c r="N1948" s="157">
        <f t="shared" si="289"/>
        <v>4.2913474896053856E-2</v>
      </c>
      <c r="O1948" s="136">
        <f t="shared" si="286"/>
        <v>-332508</v>
      </c>
      <c r="P1948" s="157">
        <f t="shared" si="287"/>
        <v>-5.2453171881359298E-2</v>
      </c>
    </row>
    <row r="1949" spans="5:16">
      <c r="E1949" s="147" t="s">
        <v>175</v>
      </c>
      <c r="F1949" s="136">
        <f>F1572</f>
        <v>3849400</v>
      </c>
      <c r="G1949" s="136">
        <f t="shared" ref="G1949:L1949" si="308">G1572</f>
        <v>0</v>
      </c>
      <c r="H1949" s="136">
        <f t="shared" si="308"/>
        <v>19236</v>
      </c>
      <c r="I1949" s="136">
        <f t="shared" si="308"/>
        <v>44051</v>
      </c>
      <c r="J1949" s="136">
        <f t="shared" si="308"/>
        <v>274397</v>
      </c>
      <c r="K1949" s="136">
        <f t="shared" si="308"/>
        <v>4187084</v>
      </c>
      <c r="L1949" s="136">
        <f t="shared" si="308"/>
        <v>4215346</v>
      </c>
      <c r="M1949" s="136">
        <f t="shared" si="285"/>
        <v>365946</v>
      </c>
      <c r="N1949" s="157">
        <f t="shared" si="289"/>
        <v>9.5065724528497944E-2</v>
      </c>
      <c r="O1949" s="136">
        <f t="shared" si="286"/>
        <v>28262</v>
      </c>
      <c r="P1949" s="157">
        <f t="shared" si="287"/>
        <v>6.7498048761381428E-3</v>
      </c>
    </row>
    <row r="1950" spans="5:16">
      <c r="E1950" s="147" t="s">
        <v>176</v>
      </c>
      <c r="F1950" s="136">
        <f>F1635</f>
        <v>2964910</v>
      </c>
      <c r="G1950" s="136">
        <f t="shared" ref="G1950:L1950" si="309">G1635</f>
        <v>0</v>
      </c>
      <c r="H1950" s="136">
        <f t="shared" si="309"/>
        <v>49682</v>
      </c>
      <c r="I1950" s="136">
        <f t="shared" si="309"/>
        <v>101341</v>
      </c>
      <c r="J1950" s="136">
        <f t="shared" si="309"/>
        <v>251112</v>
      </c>
      <c r="K1950" s="136">
        <f t="shared" si="309"/>
        <v>3367045</v>
      </c>
      <c r="L1950" s="136">
        <f t="shared" si="309"/>
        <v>3509418</v>
      </c>
      <c r="M1950" s="136">
        <f t="shared" si="285"/>
        <v>544508</v>
      </c>
      <c r="N1950" s="157">
        <f t="shared" si="289"/>
        <v>0.18365076848875683</v>
      </c>
      <c r="O1950" s="136">
        <f t="shared" si="286"/>
        <v>142373</v>
      </c>
      <c r="P1950" s="157">
        <f t="shared" si="287"/>
        <v>4.2284258155147914E-2</v>
      </c>
    </row>
    <row r="1951" spans="5:16">
      <c r="E1951" s="147" t="s">
        <v>177</v>
      </c>
      <c r="F1951" s="136">
        <f>F1711</f>
        <v>2032992</v>
      </c>
      <c r="G1951" s="136">
        <f t="shared" ref="G1951:L1951" si="310">G1711</f>
        <v>0</v>
      </c>
      <c r="H1951" s="136">
        <f t="shared" si="310"/>
        <v>105019</v>
      </c>
      <c r="I1951" s="136">
        <f t="shared" si="310"/>
        <v>12020</v>
      </c>
      <c r="J1951" s="136">
        <f t="shared" si="310"/>
        <v>125496</v>
      </c>
      <c r="K1951" s="136">
        <f t="shared" si="310"/>
        <v>2275527</v>
      </c>
      <c r="L1951" s="136">
        <f t="shared" si="310"/>
        <v>2209063</v>
      </c>
      <c r="M1951" s="136">
        <f t="shared" si="285"/>
        <v>176071</v>
      </c>
      <c r="N1951" s="157">
        <f t="shared" si="289"/>
        <v>8.6606833671750802E-2</v>
      </c>
      <c r="O1951" s="136">
        <f t="shared" si="286"/>
        <v>-66464</v>
      </c>
      <c r="P1951" s="157">
        <f t="shared" si="287"/>
        <v>-2.9208179028418473E-2</v>
      </c>
    </row>
    <row r="1952" spans="5:16">
      <c r="E1952" s="147" t="s">
        <v>178</v>
      </c>
      <c r="F1952" s="136">
        <f>F1767</f>
        <v>4904233</v>
      </c>
      <c r="G1952" s="136">
        <f t="shared" ref="G1952:L1952" si="311">G1767</f>
        <v>0</v>
      </c>
      <c r="H1952" s="136">
        <f t="shared" si="311"/>
        <v>124644</v>
      </c>
      <c r="I1952" s="136">
        <f t="shared" si="311"/>
        <v>119180</v>
      </c>
      <c r="J1952" s="136">
        <f t="shared" si="311"/>
        <v>356142</v>
      </c>
      <c r="K1952" s="136">
        <f t="shared" si="311"/>
        <v>5504199</v>
      </c>
      <c r="L1952" s="136">
        <f t="shared" si="311"/>
        <v>5613257</v>
      </c>
      <c r="M1952" s="136">
        <f t="shared" si="285"/>
        <v>709024</v>
      </c>
      <c r="N1952" s="157">
        <f t="shared" si="289"/>
        <v>0.14457388137961635</v>
      </c>
      <c r="O1952" s="136">
        <f t="shared" si="286"/>
        <v>109058</v>
      </c>
      <c r="P1952" s="157">
        <f t="shared" si="287"/>
        <v>1.9813600489371842E-2</v>
      </c>
    </row>
    <row r="1953" spans="5:18">
      <c r="E1953" s="146" t="s">
        <v>713</v>
      </c>
      <c r="F1953" s="123">
        <f t="shared" ref="F1953" si="312">SUM(F1931:F1952)</f>
        <v>498855849</v>
      </c>
      <c r="G1953" s="123">
        <f t="shared" ref="G1953:L1953" si="313">SUM(G1931:G1952)</f>
        <v>5995830</v>
      </c>
      <c r="H1953" s="123">
        <f t="shared" si="313"/>
        <v>7395788</v>
      </c>
      <c r="I1953" s="123">
        <f t="shared" si="313"/>
        <v>19185025</v>
      </c>
      <c r="J1953" s="123">
        <f t="shared" si="313"/>
        <v>8016279</v>
      </c>
      <c r="K1953" s="123">
        <f t="shared" si="313"/>
        <v>539448771</v>
      </c>
      <c r="L1953" s="123">
        <f t="shared" si="313"/>
        <v>598263598</v>
      </c>
      <c r="M1953" s="123">
        <f t="shared" si="285"/>
        <v>99407749</v>
      </c>
      <c r="N1953" s="160">
        <f t="shared" si="289"/>
        <v>0.19927149135220423</v>
      </c>
      <c r="O1953" s="123">
        <f t="shared" si="286"/>
        <v>58814827</v>
      </c>
      <c r="P1953" s="160">
        <f t="shared" si="287"/>
        <v>0.10902764110662883</v>
      </c>
    </row>
    <row r="1954" spans="5:18">
      <c r="E1954" s="147" t="s">
        <v>702</v>
      </c>
      <c r="F1954" s="136">
        <f>F1831</f>
        <v>3000000</v>
      </c>
      <c r="G1954" s="136">
        <f t="shared" ref="G1954:L1954" si="314">G1831</f>
        <v>0</v>
      </c>
      <c r="H1954" s="136">
        <f t="shared" si="314"/>
        <v>0</v>
      </c>
      <c r="I1954" s="136">
        <f t="shared" si="314"/>
        <v>0</v>
      </c>
      <c r="J1954" s="136">
        <f t="shared" si="314"/>
        <v>0</v>
      </c>
      <c r="K1954" s="136">
        <f t="shared" si="314"/>
        <v>3000000</v>
      </c>
      <c r="L1954" s="136">
        <f t="shared" si="314"/>
        <v>5000000</v>
      </c>
      <c r="M1954" s="136">
        <f t="shared" si="285"/>
        <v>2000000</v>
      </c>
      <c r="N1954" s="157">
        <f t="shared" si="289"/>
        <v>0.66666666666666663</v>
      </c>
      <c r="O1954" s="136">
        <f t="shared" si="286"/>
        <v>2000000</v>
      </c>
      <c r="P1954" s="157">
        <f t="shared" si="287"/>
        <v>0.66666666666666663</v>
      </c>
    </row>
    <row r="1955" spans="5:18">
      <c r="E1955" s="147" t="s">
        <v>714</v>
      </c>
      <c r="F1955" s="136">
        <f>F1834</f>
        <v>704000</v>
      </c>
      <c r="G1955" s="136">
        <f t="shared" ref="G1955:L1955" si="315">G1834</f>
        <v>1500000</v>
      </c>
      <c r="H1955" s="136">
        <f t="shared" si="315"/>
        <v>0</v>
      </c>
      <c r="I1955" s="136">
        <f t="shared" si="315"/>
        <v>-40780</v>
      </c>
      <c r="J1955" s="136">
        <f t="shared" si="315"/>
        <v>0</v>
      </c>
      <c r="K1955" s="136">
        <f t="shared" si="315"/>
        <v>2163220</v>
      </c>
      <c r="L1955" s="136">
        <f t="shared" si="315"/>
        <v>704000</v>
      </c>
      <c r="M1955" s="136">
        <f t="shared" si="285"/>
        <v>0</v>
      </c>
      <c r="N1955" s="157">
        <f t="shared" si="289"/>
        <v>0</v>
      </c>
      <c r="O1955" s="136">
        <f t="shared" si="286"/>
        <v>-1459220</v>
      </c>
      <c r="P1955" s="157">
        <f t="shared" si="287"/>
        <v>-0.67455922190068507</v>
      </c>
    </row>
    <row r="1956" spans="5:18">
      <c r="E1956" s="147" t="s">
        <v>704</v>
      </c>
      <c r="F1956" s="136">
        <f>F1836</f>
        <v>1500000</v>
      </c>
      <c r="G1956" s="136">
        <f t="shared" ref="G1956:L1956" si="316">G1836</f>
        <v>0</v>
      </c>
      <c r="H1956" s="136">
        <f t="shared" si="316"/>
        <v>-1000000</v>
      </c>
      <c r="I1956" s="136">
        <f t="shared" si="316"/>
        <v>0</v>
      </c>
      <c r="J1956" s="136">
        <f t="shared" si="316"/>
        <v>0</v>
      </c>
      <c r="K1956" s="136">
        <f t="shared" si="316"/>
        <v>500000</v>
      </c>
      <c r="L1956" s="136">
        <f t="shared" si="316"/>
        <v>1000000</v>
      </c>
      <c r="M1956" s="136">
        <f t="shared" si="285"/>
        <v>-500000</v>
      </c>
      <c r="N1956" s="157">
        <f t="shared" si="289"/>
        <v>-0.33333333333333331</v>
      </c>
      <c r="O1956" s="136">
        <f t="shared" si="286"/>
        <v>500000</v>
      </c>
      <c r="P1956" s="157">
        <f t="shared" si="287"/>
        <v>1</v>
      </c>
    </row>
    <row r="1957" spans="5:18">
      <c r="E1957" s="475" t="s">
        <v>705</v>
      </c>
      <c r="F1957" s="136">
        <f>F1837</f>
        <v>2000000</v>
      </c>
      <c r="G1957" s="136">
        <f t="shared" ref="G1957:L1957" si="317">G1837</f>
        <v>0</v>
      </c>
      <c r="H1957" s="136">
        <f t="shared" si="317"/>
        <v>-1000000</v>
      </c>
      <c r="I1957" s="136">
        <f t="shared" si="317"/>
        <v>0</v>
      </c>
      <c r="J1957" s="136">
        <f t="shared" si="317"/>
        <v>0</v>
      </c>
      <c r="K1957" s="136">
        <f t="shared" si="317"/>
        <v>1000000</v>
      </c>
      <c r="L1957" s="136">
        <f t="shared" si="317"/>
        <v>1000000</v>
      </c>
      <c r="M1957" s="136">
        <f t="shared" si="285"/>
        <v>-1000000</v>
      </c>
      <c r="N1957" s="157">
        <f t="shared" si="289"/>
        <v>-0.5</v>
      </c>
      <c r="O1957" s="136">
        <f t="shared" si="286"/>
        <v>0</v>
      </c>
      <c r="P1957" s="157">
        <f t="shared" si="287"/>
        <v>0</v>
      </c>
    </row>
    <row r="1958" spans="5:18">
      <c r="E1958" s="147" t="s">
        <v>706</v>
      </c>
      <c r="F1958" s="136">
        <f>F1839</f>
        <v>1500000</v>
      </c>
      <c r="G1958" s="136">
        <f t="shared" ref="G1958:L1958" si="318">G1839</f>
        <v>0</v>
      </c>
      <c r="H1958" s="136">
        <f t="shared" si="318"/>
        <v>-1080000</v>
      </c>
      <c r="I1958" s="136">
        <f t="shared" si="318"/>
        <v>-127753</v>
      </c>
      <c r="J1958" s="136">
        <f t="shared" si="318"/>
        <v>0</v>
      </c>
      <c r="K1958" s="136">
        <f t="shared" si="318"/>
        <v>292247</v>
      </c>
      <c r="L1958" s="136">
        <f t="shared" si="318"/>
        <v>1000000</v>
      </c>
      <c r="M1958" s="136">
        <f t="shared" si="285"/>
        <v>-500000</v>
      </c>
      <c r="N1958" s="157">
        <f t="shared" si="289"/>
        <v>-0.33333333333333331</v>
      </c>
      <c r="O1958" s="136">
        <f t="shared" si="286"/>
        <v>707753</v>
      </c>
      <c r="P1958" s="157">
        <f t="shared" si="287"/>
        <v>2.421763097653697</v>
      </c>
    </row>
    <row r="1959" spans="5:18">
      <c r="E1959" s="147" t="s">
        <v>605</v>
      </c>
      <c r="F1959" s="136">
        <f>F1838</f>
        <v>1000000</v>
      </c>
      <c r="G1959" s="136">
        <f t="shared" ref="G1959:L1959" si="319">G1838</f>
        <v>0</v>
      </c>
      <c r="H1959" s="136">
        <f t="shared" si="319"/>
        <v>0</v>
      </c>
      <c r="I1959" s="136">
        <f t="shared" si="319"/>
        <v>0</v>
      </c>
      <c r="J1959" s="136">
        <f t="shared" si="319"/>
        <v>0</v>
      </c>
      <c r="K1959" s="136">
        <f t="shared" si="319"/>
        <v>1000000</v>
      </c>
      <c r="L1959" s="136">
        <f t="shared" si="319"/>
        <v>1000000</v>
      </c>
      <c r="M1959" s="136">
        <f t="shared" si="285"/>
        <v>0</v>
      </c>
      <c r="N1959" s="157">
        <f t="shared" si="289"/>
        <v>0</v>
      </c>
      <c r="O1959" s="136">
        <f t="shared" si="286"/>
        <v>0</v>
      </c>
      <c r="P1959" s="157">
        <f t="shared" si="287"/>
        <v>0</v>
      </c>
    </row>
    <row r="1960" spans="5:18">
      <c r="E1960" s="147" t="s">
        <v>645</v>
      </c>
      <c r="F1960" s="136">
        <f>F1842</f>
        <v>6430000</v>
      </c>
      <c r="G1960" s="136">
        <f t="shared" ref="G1960:L1960" si="320">G1842</f>
        <v>2347170</v>
      </c>
      <c r="H1960" s="136">
        <f t="shared" si="320"/>
        <v>0</v>
      </c>
      <c r="I1960" s="136">
        <f t="shared" si="320"/>
        <v>0</v>
      </c>
      <c r="J1960" s="136">
        <f t="shared" si="320"/>
        <v>-8016279</v>
      </c>
      <c r="K1960" s="136">
        <f t="shared" si="320"/>
        <v>760891</v>
      </c>
      <c r="L1960" s="136">
        <f t="shared" si="320"/>
        <v>13750000</v>
      </c>
      <c r="M1960" s="136">
        <f t="shared" si="285"/>
        <v>7320000</v>
      </c>
      <c r="N1960" s="136">
        <f t="shared" si="289"/>
        <v>1.1384136858475895</v>
      </c>
      <c r="O1960" s="136">
        <f t="shared" si="286"/>
        <v>12989109</v>
      </c>
      <c r="P1960" s="136">
        <f t="shared" si="287"/>
        <v>17.070919487811</v>
      </c>
    </row>
    <row r="1961" spans="5:18">
      <c r="E1961" s="147" t="s">
        <v>1189</v>
      </c>
      <c r="F1961" s="136">
        <f>F1844</f>
        <v>0</v>
      </c>
      <c r="G1961" s="136">
        <f t="shared" ref="G1961:L1961" si="321">G1844</f>
        <v>0</v>
      </c>
      <c r="H1961" s="136">
        <f t="shared" si="321"/>
        <v>18000000</v>
      </c>
      <c r="I1961" s="136">
        <f t="shared" si="321"/>
        <v>9000000</v>
      </c>
      <c r="J1961" s="136">
        <f t="shared" si="321"/>
        <v>0</v>
      </c>
      <c r="K1961" s="136">
        <f t="shared" si="321"/>
        <v>27000000</v>
      </c>
      <c r="L1961" s="136">
        <f t="shared" si="321"/>
        <v>18000000</v>
      </c>
      <c r="M1961" s="136">
        <f t="shared" si="285"/>
        <v>18000000</v>
      </c>
      <c r="N1961" s="136"/>
      <c r="O1961" s="136">
        <f t="shared" si="286"/>
        <v>-9000000</v>
      </c>
      <c r="P1961" s="136">
        <f t="shared" si="287"/>
        <v>-0.33333333333333331</v>
      </c>
    </row>
    <row r="1962" spans="5:18">
      <c r="E1962" s="146" t="s">
        <v>13</v>
      </c>
      <c r="F1962" s="123">
        <f>SUM(F1953:F1961)</f>
        <v>514989849</v>
      </c>
      <c r="G1962" s="123">
        <f t="shared" ref="G1962:L1962" si="322">SUM(G1953:G1961)</f>
        <v>9843000</v>
      </c>
      <c r="H1962" s="123">
        <f t="shared" si="322"/>
        <v>22315788</v>
      </c>
      <c r="I1962" s="123">
        <f t="shared" si="322"/>
        <v>28016492</v>
      </c>
      <c r="J1962" s="123">
        <f t="shared" si="322"/>
        <v>0</v>
      </c>
      <c r="K1962" s="123">
        <f t="shared" si="322"/>
        <v>575165129</v>
      </c>
      <c r="L1962" s="123">
        <f t="shared" si="322"/>
        <v>639717598</v>
      </c>
      <c r="M1962" s="123">
        <f t="shared" si="285"/>
        <v>124727749</v>
      </c>
      <c r="N1962" s="123">
        <f t="shared" si="289"/>
        <v>0.24219457770321992</v>
      </c>
      <c r="O1962" s="123">
        <f t="shared" si="286"/>
        <v>64552469</v>
      </c>
      <c r="P1962" s="123">
        <f t="shared" si="287"/>
        <v>0.11223293232716131</v>
      </c>
    </row>
    <row r="1963" spans="5:18">
      <c r="E1963" s="474"/>
      <c r="F1963" s="136">
        <f ca="1">F1962-F1858</f>
        <v>0</v>
      </c>
      <c r="G1963" s="136">
        <f t="shared" ref="G1963:L1963" ca="1" si="323">G1962-G1858</f>
        <v>0</v>
      </c>
      <c r="H1963" s="136">
        <f t="shared" ca="1" si="323"/>
        <v>0</v>
      </c>
      <c r="I1963" s="136">
        <f t="shared" ca="1" si="323"/>
        <v>0</v>
      </c>
      <c r="J1963" s="136">
        <f t="shared" ca="1" si="323"/>
        <v>0</v>
      </c>
      <c r="K1963" s="136">
        <f t="shared" ca="1" si="323"/>
        <v>0</v>
      </c>
      <c r="L1963" s="136">
        <f t="shared" ca="1" si="323"/>
        <v>0</v>
      </c>
      <c r="M1963" s="136">
        <f t="shared" ca="1" si="285"/>
        <v>0</v>
      </c>
      <c r="N1963" s="157"/>
      <c r="O1963" s="136">
        <f t="shared" ca="1" si="286"/>
        <v>0</v>
      </c>
      <c r="P1963" s="157"/>
    </row>
    <row r="1964" spans="5:18">
      <c r="E1964" s="474"/>
      <c r="F1964" s="135"/>
      <c r="G1964" s="135"/>
      <c r="H1964" s="135"/>
      <c r="I1964" s="135"/>
      <c r="J1964" s="135"/>
      <c r="K1964" s="135"/>
      <c r="M1964" s="135">
        <f t="shared" si="285"/>
        <v>0</v>
      </c>
      <c r="N1964" s="157"/>
      <c r="O1964" s="135">
        <f t="shared" si="286"/>
        <v>0</v>
      </c>
      <c r="P1964" s="157"/>
    </row>
    <row r="1965" spans="5:18">
      <c r="E1965" s="403" t="s">
        <v>716</v>
      </c>
      <c r="F1965" s="135"/>
      <c r="G1965" s="135"/>
      <c r="H1965" s="135"/>
      <c r="I1965" s="135"/>
      <c r="J1965" s="135"/>
      <c r="K1965" s="135"/>
      <c r="M1965" s="135">
        <f t="shared" si="285"/>
        <v>0</v>
      </c>
      <c r="N1965" s="157"/>
      <c r="O1965" s="135">
        <f t="shared" si="286"/>
        <v>0</v>
      </c>
      <c r="P1965" s="157"/>
    </row>
    <row r="1966" spans="5:18">
      <c r="E1966" s="147" t="s">
        <v>752</v>
      </c>
      <c r="F1966" s="136">
        <f t="shared" ref="F1966:L1966" si="324">F12</f>
        <v>1780245</v>
      </c>
      <c r="G1966" s="136">
        <f t="shared" si="324"/>
        <v>0</v>
      </c>
      <c r="H1966" s="136">
        <f t="shared" si="324"/>
        <v>75508</v>
      </c>
      <c r="I1966" s="136">
        <f t="shared" si="324"/>
        <v>6068</v>
      </c>
      <c r="J1966" s="136">
        <f t="shared" si="324"/>
        <v>68693</v>
      </c>
      <c r="K1966" s="136">
        <f t="shared" si="324"/>
        <v>1930514</v>
      </c>
      <c r="L1966" s="136">
        <f t="shared" si="324"/>
        <v>1995697</v>
      </c>
      <c r="M1966" s="136">
        <f t="shared" si="285"/>
        <v>215452</v>
      </c>
      <c r="N1966" s="157">
        <f t="shared" si="289"/>
        <v>0.12102379166912419</v>
      </c>
      <c r="O1966" s="136">
        <f t="shared" si="286"/>
        <v>65183</v>
      </c>
      <c r="P1966" s="157">
        <f t="shared" si="287"/>
        <v>3.3764582903827688E-2</v>
      </c>
      <c r="R1966" s="18"/>
    </row>
    <row r="1967" spans="5:18">
      <c r="E1967" s="147" t="s">
        <v>99</v>
      </c>
      <c r="F1967" s="136">
        <f t="shared" ref="F1967:L1967" si="325">F32</f>
        <v>3735938</v>
      </c>
      <c r="G1967" s="136">
        <f t="shared" si="325"/>
        <v>0</v>
      </c>
      <c r="H1967" s="136">
        <f t="shared" si="325"/>
        <v>14358</v>
      </c>
      <c r="I1967" s="136">
        <f t="shared" si="325"/>
        <v>-43401</v>
      </c>
      <c r="J1967" s="136">
        <f t="shared" si="325"/>
        <v>215245</v>
      </c>
      <c r="K1967" s="136">
        <f t="shared" si="325"/>
        <v>3922140</v>
      </c>
      <c r="L1967" s="136">
        <f t="shared" si="325"/>
        <v>4295859</v>
      </c>
      <c r="M1967" s="136">
        <f t="shared" si="285"/>
        <v>559921</v>
      </c>
      <c r="N1967" s="157">
        <f t="shared" si="289"/>
        <v>0.14987427521548805</v>
      </c>
      <c r="O1967" s="136">
        <f t="shared" si="286"/>
        <v>373719</v>
      </c>
      <c r="P1967" s="157">
        <f t="shared" si="287"/>
        <v>9.5284462053878749E-2</v>
      </c>
      <c r="R1967" s="18"/>
    </row>
    <row r="1968" spans="5:18">
      <c r="E1968" s="10" t="s">
        <v>609</v>
      </c>
      <c r="F1968" s="136">
        <f>F78</f>
        <v>11879435</v>
      </c>
      <c r="G1968" s="136">
        <f t="shared" ref="G1968:L1968" si="326">G78</f>
        <v>0</v>
      </c>
      <c r="H1968" s="136">
        <f t="shared" si="326"/>
        <v>-233391</v>
      </c>
      <c r="I1968" s="136">
        <f t="shared" si="326"/>
        <v>-184860</v>
      </c>
      <c r="J1968" s="136">
        <f t="shared" si="326"/>
        <v>850446</v>
      </c>
      <c r="K1968" s="136">
        <f t="shared" si="326"/>
        <v>12311630</v>
      </c>
      <c r="L1968" s="136">
        <f t="shared" si="326"/>
        <v>13451322</v>
      </c>
      <c r="M1968" s="136">
        <f t="shared" si="285"/>
        <v>1571887</v>
      </c>
      <c r="N1968" s="157">
        <f t="shared" si="289"/>
        <v>0.13232001353599729</v>
      </c>
      <c r="O1968" s="136">
        <f t="shared" si="286"/>
        <v>1139692</v>
      </c>
      <c r="P1968" s="157">
        <f t="shared" si="287"/>
        <v>9.2570358271000672E-2</v>
      </c>
      <c r="R1968" s="18"/>
    </row>
    <row r="1969" spans="5:18">
      <c r="E1969" s="147" t="s">
        <v>100</v>
      </c>
      <c r="F1969" s="136">
        <f>F298</f>
        <v>706614</v>
      </c>
      <c r="G1969" s="136">
        <f t="shared" ref="G1969:L1969" si="327">G298</f>
        <v>0</v>
      </c>
      <c r="H1969" s="136">
        <f t="shared" si="327"/>
        <v>56905</v>
      </c>
      <c r="I1969" s="136">
        <f t="shared" si="327"/>
        <v>-23014</v>
      </c>
      <c r="J1969" s="136">
        <f t="shared" si="327"/>
        <v>52163</v>
      </c>
      <c r="K1969" s="136">
        <f t="shared" si="327"/>
        <v>792668</v>
      </c>
      <c r="L1969" s="136">
        <f t="shared" si="327"/>
        <v>770108</v>
      </c>
      <c r="M1969" s="136">
        <f t="shared" si="285"/>
        <v>63494</v>
      </c>
      <c r="N1969" s="157">
        <f t="shared" si="289"/>
        <v>8.9856696867030655E-2</v>
      </c>
      <c r="O1969" s="136">
        <f t="shared" si="286"/>
        <v>-22560</v>
      </c>
      <c r="P1969" s="157">
        <f t="shared" si="287"/>
        <v>-2.8460843631886237E-2</v>
      </c>
      <c r="R1969" s="18"/>
    </row>
    <row r="1970" spans="5:18">
      <c r="E1970" s="147" t="s">
        <v>48</v>
      </c>
      <c r="F1970" s="136">
        <f>F317</f>
        <v>163751290</v>
      </c>
      <c r="G1970" s="136">
        <f t="shared" ref="G1970:L1970" si="328">G317</f>
        <v>2239020</v>
      </c>
      <c r="H1970" s="136">
        <f t="shared" si="328"/>
        <v>1110505</v>
      </c>
      <c r="I1970" s="136">
        <f t="shared" si="328"/>
        <v>2547991</v>
      </c>
      <c r="J1970" s="136">
        <f t="shared" si="328"/>
        <v>125185</v>
      </c>
      <c r="K1970" s="136">
        <f t="shared" si="328"/>
        <v>169773991</v>
      </c>
      <c r="L1970" s="136">
        <f t="shared" si="328"/>
        <v>205252543</v>
      </c>
      <c r="M1970" s="136">
        <f t="shared" si="285"/>
        <v>41501253</v>
      </c>
      <c r="N1970" s="157">
        <f t="shared" si="289"/>
        <v>0.25344076984065284</v>
      </c>
      <c r="O1970" s="136">
        <f t="shared" si="286"/>
        <v>35478552</v>
      </c>
      <c r="P1970" s="157">
        <f t="shared" si="287"/>
        <v>0.20897518984518659</v>
      </c>
      <c r="R1970" s="18"/>
    </row>
    <row r="1971" spans="5:18">
      <c r="E1971" s="147" t="s">
        <v>601</v>
      </c>
      <c r="F1971" s="136">
        <f>F465</f>
        <v>10813209</v>
      </c>
      <c r="G1971" s="136">
        <f t="shared" ref="G1971:L1971" si="329">G465</f>
        <v>0</v>
      </c>
      <c r="H1971" s="136">
        <f t="shared" si="329"/>
        <v>35112</v>
      </c>
      <c r="I1971" s="136">
        <f t="shared" si="329"/>
        <v>-56272</v>
      </c>
      <c r="J1971" s="136">
        <f t="shared" si="329"/>
        <v>780321</v>
      </c>
      <c r="K1971" s="136">
        <f t="shared" si="329"/>
        <v>11572370</v>
      </c>
      <c r="L1971" s="136">
        <f t="shared" si="329"/>
        <v>11836882</v>
      </c>
      <c r="M1971" s="136">
        <f t="shared" si="285"/>
        <v>1023673</v>
      </c>
      <c r="N1971" s="157">
        <f t="shared" si="289"/>
        <v>9.466875189409546E-2</v>
      </c>
      <c r="O1971" s="136">
        <f t="shared" si="286"/>
        <v>264512</v>
      </c>
      <c r="P1971" s="157">
        <f t="shared" si="287"/>
        <v>2.2857202111581293E-2</v>
      </c>
      <c r="R1971" s="18"/>
    </row>
    <row r="1972" spans="5:18">
      <c r="E1972" s="147" t="s">
        <v>107</v>
      </c>
      <c r="F1972" s="136">
        <f>F664</f>
        <v>24260829</v>
      </c>
      <c r="G1972" s="136">
        <f t="shared" ref="G1972:L1972" si="330">G664</f>
        <v>0</v>
      </c>
      <c r="H1972" s="136">
        <f t="shared" si="330"/>
        <v>2403053</v>
      </c>
      <c r="I1972" s="136">
        <f t="shared" si="330"/>
        <v>-450276</v>
      </c>
      <c r="J1972" s="136">
        <f t="shared" si="330"/>
        <v>741836</v>
      </c>
      <c r="K1972" s="136">
        <f t="shared" si="330"/>
        <v>26955442</v>
      </c>
      <c r="L1972" s="136">
        <f t="shared" si="330"/>
        <v>28603614</v>
      </c>
      <c r="M1972" s="136">
        <f t="shared" si="285"/>
        <v>4342785</v>
      </c>
      <c r="N1972" s="157">
        <f t="shared" si="289"/>
        <v>0.1790039820980561</v>
      </c>
      <c r="O1972" s="136">
        <f t="shared" si="286"/>
        <v>1648172</v>
      </c>
      <c r="P1972" s="157">
        <f t="shared" si="287"/>
        <v>6.1144313641749964E-2</v>
      </c>
      <c r="R1972" s="18"/>
    </row>
    <row r="1973" spans="5:18">
      <c r="E1973" s="10" t="s">
        <v>682</v>
      </c>
      <c r="F1973" s="136">
        <f>F982</f>
        <v>2724712</v>
      </c>
      <c r="G1973" s="136">
        <f t="shared" ref="G1973:L1973" si="331">G982</f>
        <v>0</v>
      </c>
      <c r="H1973" s="136">
        <f t="shared" si="331"/>
        <v>-42989</v>
      </c>
      <c r="I1973" s="136">
        <f t="shared" si="331"/>
        <v>-64163</v>
      </c>
      <c r="J1973" s="136">
        <f t="shared" si="331"/>
        <v>243681</v>
      </c>
      <c r="K1973" s="136">
        <f t="shared" si="331"/>
        <v>2861241</v>
      </c>
      <c r="L1973" s="136">
        <f t="shared" si="331"/>
        <v>3296453</v>
      </c>
      <c r="M1973" s="136">
        <f t="shared" si="285"/>
        <v>571741</v>
      </c>
      <c r="N1973" s="157">
        <f t="shared" si="289"/>
        <v>0.20983538810707333</v>
      </c>
      <c r="O1973" s="136">
        <f t="shared" si="286"/>
        <v>435212</v>
      </c>
      <c r="P1973" s="157">
        <f t="shared" si="287"/>
        <v>0.15210602672057336</v>
      </c>
      <c r="R1973" s="18"/>
    </row>
    <row r="1974" spans="5:18">
      <c r="E1974" s="10" t="s">
        <v>684</v>
      </c>
      <c r="F1974" s="136">
        <f>F1042</f>
        <v>1378595</v>
      </c>
      <c r="G1974" s="136">
        <f t="shared" ref="G1974:L1974" si="332">G1042</f>
        <v>0</v>
      </c>
      <c r="H1974" s="136">
        <f t="shared" si="332"/>
        <v>333</v>
      </c>
      <c r="I1974" s="136">
        <f t="shared" si="332"/>
        <v>-38218</v>
      </c>
      <c r="J1974" s="136">
        <f t="shared" si="332"/>
        <v>104729</v>
      </c>
      <c r="K1974" s="136">
        <f t="shared" si="332"/>
        <v>1445439</v>
      </c>
      <c r="L1974" s="136">
        <f t="shared" si="332"/>
        <v>1536819</v>
      </c>
      <c r="M1974" s="136">
        <f t="shared" si="285"/>
        <v>158224</v>
      </c>
      <c r="N1974" s="157">
        <f t="shared" si="289"/>
        <v>0.11477192358887128</v>
      </c>
      <c r="O1974" s="136">
        <f t="shared" si="286"/>
        <v>91380</v>
      </c>
      <c r="P1974" s="157">
        <f t="shared" si="287"/>
        <v>6.3219547832872924E-2</v>
      </c>
      <c r="R1974" s="18"/>
    </row>
    <row r="1975" spans="5:18">
      <c r="E1975" s="10" t="s">
        <v>685</v>
      </c>
      <c r="F1975" s="136">
        <f>F1133</f>
        <v>7796380</v>
      </c>
      <c r="G1975" s="136">
        <f t="shared" ref="G1975:L1975" si="333">G1133</f>
        <v>0</v>
      </c>
      <c r="H1975" s="136">
        <f t="shared" si="333"/>
        <v>66213</v>
      </c>
      <c r="I1975" s="136">
        <f t="shared" si="333"/>
        <v>93889</v>
      </c>
      <c r="J1975" s="136">
        <f t="shared" si="333"/>
        <v>702494</v>
      </c>
      <c r="K1975" s="136">
        <f t="shared" si="333"/>
        <v>8658976</v>
      </c>
      <c r="L1975" s="136">
        <f t="shared" si="333"/>
        <v>9208661.1999999993</v>
      </c>
      <c r="M1975" s="136">
        <f t="shared" si="285"/>
        <v>1412281.1999999993</v>
      </c>
      <c r="N1975" s="157">
        <f t="shared" si="289"/>
        <v>0.18114576252055431</v>
      </c>
      <c r="O1975" s="136">
        <f t="shared" si="286"/>
        <v>549685.19999999925</v>
      </c>
      <c r="P1975" s="157">
        <f t="shared" si="287"/>
        <v>6.3481547933612381E-2</v>
      </c>
      <c r="R1975" s="18"/>
    </row>
    <row r="1976" spans="5:18">
      <c r="E1976" s="147" t="s">
        <v>689</v>
      </c>
      <c r="F1976" s="136">
        <f>F1253</f>
        <v>2809770</v>
      </c>
      <c r="G1976" s="136">
        <f t="shared" ref="G1976:L1976" si="334">G1253</f>
        <v>0</v>
      </c>
      <c r="H1976" s="136">
        <f t="shared" si="334"/>
        <v>-21306</v>
      </c>
      <c r="I1976" s="136">
        <f t="shared" si="334"/>
        <v>-28350</v>
      </c>
      <c r="J1976" s="136">
        <f t="shared" si="334"/>
        <v>213217</v>
      </c>
      <c r="K1976" s="136">
        <f t="shared" si="334"/>
        <v>2973331</v>
      </c>
      <c r="L1976" s="136">
        <f t="shared" si="334"/>
        <v>3095749</v>
      </c>
      <c r="M1976" s="136">
        <f t="shared" si="285"/>
        <v>285979</v>
      </c>
      <c r="N1976" s="157">
        <f t="shared" si="289"/>
        <v>0.10178021688607965</v>
      </c>
      <c r="O1976" s="136">
        <f t="shared" si="286"/>
        <v>122418</v>
      </c>
      <c r="P1976" s="157">
        <f t="shared" si="287"/>
        <v>4.1172005404040118E-2</v>
      </c>
      <c r="R1976" s="18"/>
    </row>
    <row r="1977" spans="5:18">
      <c r="E1977" s="147" t="s">
        <v>691</v>
      </c>
      <c r="F1977" s="136">
        <f>F1276</f>
        <v>3441202</v>
      </c>
      <c r="G1977" s="136">
        <f t="shared" ref="G1977:L1977" si="335">G1276</f>
        <v>0</v>
      </c>
      <c r="H1977" s="136">
        <f t="shared" si="335"/>
        <v>-19459</v>
      </c>
      <c r="I1977" s="136">
        <f t="shared" si="335"/>
        <v>-51213</v>
      </c>
      <c r="J1977" s="136">
        <f t="shared" si="335"/>
        <v>268724</v>
      </c>
      <c r="K1977" s="136">
        <f t="shared" si="335"/>
        <v>3639254</v>
      </c>
      <c r="L1977" s="136">
        <f t="shared" si="335"/>
        <v>3760001</v>
      </c>
      <c r="M1977" s="136">
        <f t="shared" si="285"/>
        <v>318799</v>
      </c>
      <c r="N1977" s="157">
        <f t="shared" si="289"/>
        <v>9.264175715345975E-2</v>
      </c>
      <c r="O1977" s="136">
        <f t="shared" si="286"/>
        <v>120747</v>
      </c>
      <c r="P1977" s="157">
        <f t="shared" si="287"/>
        <v>3.3179052630017032E-2</v>
      </c>
      <c r="R1977" s="18"/>
    </row>
    <row r="1978" spans="5:18">
      <c r="E1978" s="147" t="s">
        <v>166</v>
      </c>
      <c r="F1978" s="136">
        <f>F1306</f>
        <v>1266669</v>
      </c>
      <c r="G1978" s="136">
        <f t="shared" ref="G1978:L1978" si="336">G1306</f>
        <v>0</v>
      </c>
      <c r="H1978" s="136">
        <f t="shared" si="336"/>
        <v>-6384</v>
      </c>
      <c r="I1978" s="136">
        <f t="shared" si="336"/>
        <v>-752</v>
      </c>
      <c r="J1978" s="136">
        <f t="shared" si="336"/>
        <v>143953</v>
      </c>
      <c r="K1978" s="136">
        <f t="shared" si="336"/>
        <v>1403486</v>
      </c>
      <c r="L1978" s="136">
        <f t="shared" si="336"/>
        <v>1490124</v>
      </c>
      <c r="M1978" s="136">
        <f t="shared" si="285"/>
        <v>223455</v>
      </c>
      <c r="N1978" s="157">
        <f t="shared" si="289"/>
        <v>0.17641151713667896</v>
      </c>
      <c r="O1978" s="136">
        <f t="shared" si="286"/>
        <v>86638</v>
      </c>
      <c r="P1978" s="157">
        <f t="shared" si="287"/>
        <v>6.1730576578604986E-2</v>
      </c>
      <c r="R1978" s="18"/>
    </row>
    <row r="1979" spans="5:18">
      <c r="E1979" s="147" t="s">
        <v>349</v>
      </c>
      <c r="F1979" s="136">
        <f>F1366</f>
        <v>2229409</v>
      </c>
      <c r="G1979" s="136">
        <f t="shared" ref="G1979:L1979" si="337">G1366</f>
        <v>0</v>
      </c>
      <c r="H1979" s="136">
        <f t="shared" si="337"/>
        <v>22261</v>
      </c>
      <c r="I1979" s="136">
        <f t="shared" si="337"/>
        <v>-19485</v>
      </c>
      <c r="J1979" s="136">
        <f t="shared" si="337"/>
        <v>214121</v>
      </c>
      <c r="K1979" s="136">
        <f t="shared" si="337"/>
        <v>2446306</v>
      </c>
      <c r="L1979" s="136">
        <f t="shared" si="337"/>
        <v>2577565</v>
      </c>
      <c r="M1979" s="136">
        <f t="shared" si="285"/>
        <v>348156</v>
      </c>
      <c r="N1979" s="157">
        <f t="shared" si="289"/>
        <v>0.15616515408343645</v>
      </c>
      <c r="O1979" s="136">
        <f t="shared" si="286"/>
        <v>131259</v>
      </c>
      <c r="P1979" s="157">
        <f t="shared" si="287"/>
        <v>5.3656002151815839E-2</v>
      </c>
      <c r="R1979" s="18"/>
    </row>
    <row r="1980" spans="5:18">
      <c r="E1980" s="147" t="s">
        <v>173</v>
      </c>
      <c r="F1980" s="136">
        <f>F1449</f>
        <v>1412504</v>
      </c>
      <c r="G1980" s="136">
        <f t="shared" ref="G1980:L1980" si="338">G1449</f>
        <v>0</v>
      </c>
      <c r="H1980" s="136">
        <f t="shared" si="338"/>
        <v>1684</v>
      </c>
      <c r="I1980" s="136">
        <f t="shared" si="338"/>
        <v>10736</v>
      </c>
      <c r="J1980" s="136">
        <f t="shared" si="338"/>
        <v>159836</v>
      </c>
      <c r="K1980" s="136">
        <f t="shared" si="338"/>
        <v>1584760</v>
      </c>
      <c r="L1980" s="136">
        <f t="shared" si="338"/>
        <v>1651158</v>
      </c>
      <c r="M1980" s="136">
        <f t="shared" si="285"/>
        <v>238654</v>
      </c>
      <c r="N1980" s="157">
        <f t="shared" si="289"/>
        <v>0.16895810560536464</v>
      </c>
      <c r="O1980" s="136">
        <f t="shared" si="286"/>
        <v>66398</v>
      </c>
      <c r="P1980" s="157">
        <f t="shared" si="287"/>
        <v>4.1897826800272597E-2</v>
      </c>
      <c r="R1980" s="18"/>
    </row>
    <row r="1981" spans="5:18">
      <c r="E1981" s="147" t="s">
        <v>174</v>
      </c>
      <c r="F1981" s="136">
        <f>F1500</f>
        <v>3393506</v>
      </c>
      <c r="G1981" s="136">
        <f t="shared" ref="G1981:L1981" si="339">G1500</f>
        <v>0</v>
      </c>
      <c r="H1981" s="136">
        <f t="shared" si="339"/>
        <v>50954</v>
      </c>
      <c r="I1981" s="136">
        <f t="shared" si="339"/>
        <v>-8016</v>
      </c>
      <c r="J1981" s="136">
        <f t="shared" si="339"/>
        <v>353866</v>
      </c>
      <c r="K1981" s="136">
        <f t="shared" si="339"/>
        <v>3790310</v>
      </c>
      <c r="L1981" s="136">
        <f t="shared" si="339"/>
        <v>3953601</v>
      </c>
      <c r="M1981" s="136">
        <f t="shared" si="285"/>
        <v>560095</v>
      </c>
      <c r="N1981" s="157">
        <f t="shared" si="289"/>
        <v>0.16504906724785517</v>
      </c>
      <c r="O1981" s="136">
        <f t="shared" si="286"/>
        <v>163291</v>
      </c>
      <c r="P1981" s="157">
        <f t="shared" si="287"/>
        <v>4.3081172780062842E-2</v>
      </c>
      <c r="R1981" s="18"/>
    </row>
    <row r="1982" spans="5:18">
      <c r="E1982" s="147" t="s">
        <v>175</v>
      </c>
      <c r="F1982" s="136">
        <f>F1573</f>
        <v>2130940</v>
      </c>
      <c r="G1982" s="136">
        <f t="shared" ref="G1982:L1982" si="340">G1573</f>
        <v>0</v>
      </c>
      <c r="H1982" s="136">
        <f t="shared" si="340"/>
        <v>-16932</v>
      </c>
      <c r="I1982" s="136">
        <f t="shared" si="340"/>
        <v>-42181</v>
      </c>
      <c r="J1982" s="136">
        <f t="shared" si="340"/>
        <v>205081</v>
      </c>
      <c r="K1982" s="136">
        <f t="shared" si="340"/>
        <v>2276908</v>
      </c>
      <c r="L1982" s="136">
        <f t="shared" si="340"/>
        <v>2462308</v>
      </c>
      <c r="M1982" s="136">
        <f t="shared" si="285"/>
        <v>331368</v>
      </c>
      <c r="N1982" s="157">
        <f t="shared" si="289"/>
        <v>0.15550320515828694</v>
      </c>
      <c r="O1982" s="136">
        <f t="shared" si="286"/>
        <v>185400</v>
      </c>
      <c r="P1982" s="157">
        <f t="shared" si="287"/>
        <v>8.1426214849260492E-2</v>
      </c>
      <c r="R1982" s="18"/>
    </row>
    <row r="1983" spans="5:18">
      <c r="E1983" s="147" t="s">
        <v>176</v>
      </c>
      <c r="F1983" s="136">
        <f>F1636</f>
        <v>1774929</v>
      </c>
      <c r="G1983" s="136">
        <f t="shared" ref="G1983:L1983" si="341">G1636</f>
        <v>0</v>
      </c>
      <c r="H1983" s="136">
        <f t="shared" si="341"/>
        <v>-985</v>
      </c>
      <c r="I1983" s="136">
        <f t="shared" si="341"/>
        <v>-6359</v>
      </c>
      <c r="J1983" s="136">
        <f t="shared" si="341"/>
        <v>187678</v>
      </c>
      <c r="K1983" s="136">
        <f t="shared" si="341"/>
        <v>1955263</v>
      </c>
      <c r="L1983" s="136">
        <f t="shared" si="341"/>
        <v>2008796</v>
      </c>
      <c r="M1983" s="136">
        <f t="shared" si="285"/>
        <v>233867</v>
      </c>
      <c r="N1983" s="157">
        <f t="shared" si="289"/>
        <v>0.13176132679109981</v>
      </c>
      <c r="O1983" s="136">
        <f t="shared" si="286"/>
        <v>53533</v>
      </c>
      <c r="P1983" s="157">
        <f t="shared" si="287"/>
        <v>2.7378925494933419E-2</v>
      </c>
      <c r="R1983" s="18"/>
    </row>
    <row r="1984" spans="5:18">
      <c r="E1984" s="147" t="s">
        <v>177</v>
      </c>
      <c r="F1984" s="136">
        <f>F1712</f>
        <v>911240</v>
      </c>
      <c r="G1984" s="136">
        <f t="shared" ref="G1984:L1984" si="342">G1712</f>
        <v>0</v>
      </c>
      <c r="H1984" s="136">
        <f t="shared" si="342"/>
        <v>20903</v>
      </c>
      <c r="I1984" s="136">
        <f t="shared" si="342"/>
        <v>-13488</v>
      </c>
      <c r="J1984" s="136">
        <f t="shared" si="342"/>
        <v>93793</v>
      </c>
      <c r="K1984" s="136">
        <f t="shared" si="342"/>
        <v>1012448</v>
      </c>
      <c r="L1984" s="136">
        <f t="shared" si="342"/>
        <v>1025631</v>
      </c>
      <c r="M1984" s="136">
        <f t="shared" si="285"/>
        <v>114391</v>
      </c>
      <c r="N1984" s="157">
        <f t="shared" si="289"/>
        <v>0.12553333918616391</v>
      </c>
      <c r="O1984" s="136">
        <f t="shared" si="286"/>
        <v>13183</v>
      </c>
      <c r="P1984" s="157">
        <f t="shared" si="287"/>
        <v>1.3020915642087297E-2</v>
      </c>
      <c r="R1984" s="18"/>
    </row>
    <row r="1985" spans="5:18">
      <c r="E1985" s="147" t="s">
        <v>178</v>
      </c>
      <c r="F1985" s="136">
        <f>F1768</f>
        <v>2507089</v>
      </c>
      <c r="G1985" s="136">
        <f t="shared" ref="G1985:L1985" si="343">G1768</f>
        <v>0</v>
      </c>
      <c r="H1985" s="136">
        <f t="shared" si="343"/>
        <v>71997</v>
      </c>
      <c r="I1985" s="136">
        <f t="shared" si="343"/>
        <v>-23672</v>
      </c>
      <c r="J1985" s="136">
        <f t="shared" si="343"/>
        <v>266174</v>
      </c>
      <c r="K1985" s="136">
        <f t="shared" si="343"/>
        <v>2821588</v>
      </c>
      <c r="L1985" s="136">
        <f t="shared" si="343"/>
        <v>2974792</v>
      </c>
      <c r="M1985" s="136">
        <f t="shared" si="285"/>
        <v>467703</v>
      </c>
      <c r="N1985" s="157">
        <f t="shared" si="289"/>
        <v>0.18655221254610427</v>
      </c>
      <c r="O1985" s="136">
        <f t="shared" si="286"/>
        <v>153204</v>
      </c>
      <c r="P1985" s="157">
        <f t="shared" si="287"/>
        <v>5.429708376984875E-2</v>
      </c>
      <c r="R1985" s="18"/>
    </row>
    <row r="1986" spans="5:18">
      <c r="E1986" s="146" t="s">
        <v>713</v>
      </c>
      <c r="F1986" s="123">
        <f t="shared" ref="F1986" si="344">SUM(F1966:F1985)</f>
        <v>250704505</v>
      </c>
      <c r="G1986" s="123">
        <f t="shared" ref="G1986:L1986" si="345">SUM(G1966:G1985)</f>
        <v>2239020</v>
      </c>
      <c r="H1986" s="123">
        <f t="shared" si="345"/>
        <v>3588340</v>
      </c>
      <c r="I1986" s="123">
        <f t="shared" si="345"/>
        <v>1604964</v>
      </c>
      <c r="J1986" s="123">
        <f t="shared" si="345"/>
        <v>5991236</v>
      </c>
      <c r="K1986" s="123">
        <f t="shared" si="345"/>
        <v>264128065</v>
      </c>
      <c r="L1986" s="123">
        <f t="shared" si="345"/>
        <v>305247683.19999999</v>
      </c>
      <c r="M1986" s="123">
        <f t="shared" si="285"/>
        <v>54543178.199999988</v>
      </c>
      <c r="N1986" s="160">
        <f t="shared" si="289"/>
        <v>0.21755962542436158</v>
      </c>
      <c r="O1986" s="123">
        <f t="shared" si="286"/>
        <v>41119618.199999988</v>
      </c>
      <c r="P1986" s="160">
        <f t="shared" si="287"/>
        <v>0.15568060970726449</v>
      </c>
      <c r="R1986" s="18"/>
    </row>
    <row r="1987" spans="5:18">
      <c r="E1987" s="10"/>
      <c r="F1987" s="136">
        <f ca="1">F1986-F1849</f>
        <v>0</v>
      </c>
      <c r="G1987" s="136">
        <f t="shared" ref="G1987:L1987" ca="1" si="346">G1986-G1849</f>
        <v>0</v>
      </c>
      <c r="H1987" s="136">
        <f t="shared" ca="1" si="346"/>
        <v>0</v>
      </c>
      <c r="I1987" s="136">
        <f t="shared" ca="1" si="346"/>
        <v>0</v>
      </c>
      <c r="J1987" s="136">
        <f t="shared" ca="1" si="346"/>
        <v>0</v>
      </c>
      <c r="K1987" s="136">
        <f t="shared" ca="1" si="346"/>
        <v>0</v>
      </c>
      <c r="L1987" s="136">
        <f t="shared" ca="1" si="346"/>
        <v>0</v>
      </c>
      <c r="M1987" s="136">
        <f t="shared" ca="1" si="285"/>
        <v>0</v>
      </c>
      <c r="N1987" s="157"/>
      <c r="O1987" s="136"/>
      <c r="P1987" s="157"/>
    </row>
    <row r="1988" spans="5:18">
      <c r="E1988" s="10"/>
      <c r="F1988" s="135"/>
      <c r="G1988" s="135"/>
      <c r="H1988" s="135"/>
      <c r="I1988" s="135"/>
      <c r="J1988" s="135"/>
      <c r="K1988" s="135"/>
      <c r="M1988" s="135">
        <f t="shared" si="285"/>
        <v>0</v>
      </c>
      <c r="N1988" s="157"/>
      <c r="O1988" s="135"/>
      <c r="P1988" s="157"/>
    </row>
    <row r="1989" spans="5:18">
      <c r="E1989" s="14" t="s">
        <v>717</v>
      </c>
      <c r="F1989" s="135"/>
      <c r="G1989" s="135"/>
      <c r="H1989" s="135"/>
      <c r="I1989" s="135"/>
      <c r="J1989" s="135"/>
      <c r="K1989" s="135"/>
      <c r="M1989" s="135">
        <f t="shared" si="285"/>
        <v>0</v>
      </c>
      <c r="N1989" s="157"/>
      <c r="O1989" s="135">
        <f t="shared" si="286"/>
        <v>0</v>
      </c>
      <c r="P1989" s="157"/>
    </row>
    <row r="1990" spans="5:18">
      <c r="E1990" s="147" t="s">
        <v>752</v>
      </c>
      <c r="F1990" s="136">
        <f t="shared" ref="F1990:L1990" si="347">F10</f>
        <v>28450</v>
      </c>
      <c r="G1990" s="136">
        <f t="shared" si="347"/>
        <v>0</v>
      </c>
      <c r="H1990" s="136">
        <f t="shared" si="347"/>
        <v>0</v>
      </c>
      <c r="I1990" s="136">
        <f t="shared" si="347"/>
        <v>0</v>
      </c>
      <c r="J1990" s="136">
        <f t="shared" si="347"/>
        <v>0</v>
      </c>
      <c r="K1990" s="136">
        <f t="shared" si="347"/>
        <v>28450</v>
      </c>
      <c r="L1990" s="136">
        <f t="shared" si="347"/>
        <v>700</v>
      </c>
      <c r="M1990" s="136">
        <f t="shared" ref="M1990:M2012" si="348">L1990-F1990</f>
        <v>-27750</v>
      </c>
      <c r="N1990" s="157">
        <f t="shared" ref="N1990:N2012" si="349">M1990/F1990</f>
        <v>-0.97539543057996481</v>
      </c>
      <c r="O1990" s="136">
        <f t="shared" ref="O1990:O2012" si="350">L1990-K1990</f>
        <v>-27750</v>
      </c>
      <c r="P1990" s="157">
        <f t="shared" ref="P1990:P2012" si="351">O1990/K1990</f>
        <v>-0.97539543057996481</v>
      </c>
    </row>
    <row r="1991" spans="5:18">
      <c r="E1991" s="147" t="s">
        <v>99</v>
      </c>
      <c r="F1991" s="136">
        <f t="shared" ref="F1991:L1991" si="352">F30</f>
        <v>75000</v>
      </c>
      <c r="G1991" s="136">
        <f t="shared" si="352"/>
        <v>0</v>
      </c>
      <c r="H1991" s="136">
        <f t="shared" si="352"/>
        <v>6500</v>
      </c>
      <c r="I1991" s="136">
        <f t="shared" si="352"/>
        <v>0</v>
      </c>
      <c r="J1991" s="136">
        <f t="shared" si="352"/>
        <v>0</v>
      </c>
      <c r="K1991" s="136">
        <f t="shared" si="352"/>
        <v>81500</v>
      </c>
      <c r="L1991" s="136">
        <f t="shared" si="352"/>
        <v>68000</v>
      </c>
      <c r="M1991" s="136">
        <f t="shared" si="348"/>
        <v>-7000</v>
      </c>
      <c r="N1991" s="157">
        <f t="shared" si="349"/>
        <v>-9.3333333333333338E-2</v>
      </c>
      <c r="O1991" s="136">
        <f t="shared" si="350"/>
        <v>-13500</v>
      </c>
      <c r="P1991" s="157">
        <f t="shared" si="351"/>
        <v>-0.16564417177914109</v>
      </c>
    </row>
    <row r="1992" spans="5:18">
      <c r="E1992" s="10" t="s">
        <v>609</v>
      </c>
      <c r="F1992" s="136">
        <f t="shared" ref="F1992:L1992" si="353">F75</f>
        <v>5888879</v>
      </c>
      <c r="G1992" s="136">
        <f t="shared" si="353"/>
        <v>0</v>
      </c>
      <c r="H1992" s="136">
        <f t="shared" si="353"/>
        <v>37000</v>
      </c>
      <c r="I1992" s="136">
        <f t="shared" si="353"/>
        <v>416508</v>
      </c>
      <c r="J1992" s="136">
        <f t="shared" si="353"/>
        <v>0</v>
      </c>
      <c r="K1992" s="136">
        <f t="shared" si="353"/>
        <v>6342387</v>
      </c>
      <c r="L1992" s="136">
        <f t="shared" si="353"/>
        <v>4619601</v>
      </c>
      <c r="M1992" s="136">
        <f t="shared" si="348"/>
        <v>-1269278</v>
      </c>
      <c r="N1992" s="157">
        <f t="shared" si="349"/>
        <v>-0.21553813552630305</v>
      </c>
      <c r="O1992" s="136">
        <f t="shared" si="350"/>
        <v>-1722786</v>
      </c>
      <c r="P1992" s="157">
        <f t="shared" si="351"/>
        <v>-0.27163053910144558</v>
      </c>
    </row>
    <row r="1993" spans="5:18">
      <c r="E1993" s="147" t="s">
        <v>100</v>
      </c>
      <c r="F1993" s="136">
        <f>F295</f>
        <v>265541</v>
      </c>
      <c r="G1993" s="136">
        <f t="shared" ref="G1993:L1993" si="354">G295</f>
        <v>0</v>
      </c>
      <c r="H1993" s="136">
        <f t="shared" si="354"/>
        <v>0</v>
      </c>
      <c r="I1993" s="136">
        <f t="shared" si="354"/>
        <v>-30000</v>
      </c>
      <c r="J1993" s="136">
        <f t="shared" si="354"/>
        <v>0</v>
      </c>
      <c r="K1993" s="136">
        <f t="shared" si="354"/>
        <v>235541</v>
      </c>
      <c r="L1993" s="136">
        <f t="shared" si="354"/>
        <v>265541</v>
      </c>
      <c r="M1993" s="136">
        <f t="shared" si="348"/>
        <v>0</v>
      </c>
      <c r="N1993" s="157">
        <f t="shared" si="349"/>
        <v>0</v>
      </c>
      <c r="O1993" s="136">
        <f t="shared" si="350"/>
        <v>30000</v>
      </c>
      <c r="P1993" s="157">
        <f t="shared" si="351"/>
        <v>0.12736636084588246</v>
      </c>
    </row>
    <row r="1994" spans="5:18">
      <c r="E1994" s="147" t="s">
        <v>48</v>
      </c>
      <c r="F1994" s="136">
        <f>F313</f>
        <v>29003903</v>
      </c>
      <c r="G1994" s="136">
        <f t="shared" ref="G1994:L1994" si="355">G313</f>
        <v>0</v>
      </c>
      <c r="H1994" s="136">
        <f t="shared" si="355"/>
        <v>333010</v>
      </c>
      <c r="I1994" s="136">
        <f t="shared" si="355"/>
        <v>461220</v>
      </c>
      <c r="J1994" s="136">
        <f t="shared" si="355"/>
        <v>0</v>
      </c>
      <c r="K1994" s="136">
        <f t="shared" si="355"/>
        <v>29798133</v>
      </c>
      <c r="L1994" s="136">
        <f t="shared" si="355"/>
        <v>30294810</v>
      </c>
      <c r="M1994" s="136">
        <f t="shared" si="348"/>
        <v>1290907</v>
      </c>
      <c r="N1994" s="157">
        <f t="shared" si="349"/>
        <v>4.4508044313898029E-2</v>
      </c>
      <c r="O1994" s="136">
        <f t="shared" si="350"/>
        <v>496677</v>
      </c>
      <c r="P1994" s="157">
        <f t="shared" si="351"/>
        <v>1.6668057693413209E-2</v>
      </c>
    </row>
    <row r="1995" spans="5:18">
      <c r="E1995" s="147" t="s">
        <v>601</v>
      </c>
      <c r="F1995" s="136">
        <f>F462</f>
        <v>9431620</v>
      </c>
      <c r="G1995" s="136">
        <f t="shared" ref="G1995:L1995" si="356">G462</f>
        <v>0</v>
      </c>
      <c r="H1995" s="136">
        <f t="shared" si="356"/>
        <v>103880</v>
      </c>
      <c r="I1995" s="136">
        <f t="shared" si="356"/>
        <v>-252150</v>
      </c>
      <c r="J1995" s="136">
        <f t="shared" si="356"/>
        <v>0</v>
      </c>
      <c r="K1995" s="136">
        <f t="shared" si="356"/>
        <v>9283350</v>
      </c>
      <c r="L1995" s="136">
        <f t="shared" si="356"/>
        <v>9865285</v>
      </c>
      <c r="M1995" s="136">
        <f t="shared" si="348"/>
        <v>433665</v>
      </c>
      <c r="N1995" s="157">
        <f t="shared" si="349"/>
        <v>4.5979905891034629E-2</v>
      </c>
      <c r="O1995" s="136">
        <f t="shared" si="350"/>
        <v>581935</v>
      </c>
      <c r="P1995" s="157">
        <f t="shared" si="351"/>
        <v>6.2685883867353923E-2</v>
      </c>
    </row>
    <row r="1996" spans="5:18">
      <c r="E1996" s="147"/>
      <c r="F1996" s="135"/>
      <c r="G1996" s="135"/>
      <c r="H1996" s="135"/>
      <c r="I1996" s="135"/>
      <c r="J1996" s="135"/>
      <c r="K1996" s="135"/>
      <c r="M1996" s="135">
        <f t="shared" si="348"/>
        <v>0</v>
      </c>
      <c r="N1996" s="157"/>
      <c r="O1996" s="135">
        <f t="shared" si="350"/>
        <v>0</v>
      </c>
      <c r="P1996" s="157"/>
    </row>
    <row r="1997" spans="5:18">
      <c r="E1997" s="147" t="s">
        <v>107</v>
      </c>
      <c r="F1997" s="136">
        <f>F659</f>
        <v>22533816</v>
      </c>
      <c r="G1997" s="136">
        <f t="shared" ref="G1997:L1997" si="357">G659</f>
        <v>0</v>
      </c>
      <c r="H1997" s="136">
        <f t="shared" si="357"/>
        <v>3362330</v>
      </c>
      <c r="I1997" s="136">
        <f t="shared" si="357"/>
        <v>2995120</v>
      </c>
      <c r="J1997" s="136">
        <f t="shared" si="357"/>
        <v>0</v>
      </c>
      <c r="K1997" s="136">
        <f t="shared" si="357"/>
        <v>28891266</v>
      </c>
      <c r="L1997" s="136">
        <f t="shared" si="357"/>
        <v>24346181</v>
      </c>
      <c r="M1997" s="136">
        <f t="shared" si="348"/>
        <v>1812365</v>
      </c>
      <c r="N1997" s="157">
        <f t="shared" si="349"/>
        <v>8.0428676616512706E-2</v>
      </c>
      <c r="O1997" s="136">
        <f t="shared" si="350"/>
        <v>-4545085</v>
      </c>
      <c r="P1997" s="157">
        <f t="shared" si="351"/>
        <v>-0.15731692062230848</v>
      </c>
    </row>
    <row r="1998" spans="5:18">
      <c r="E1998" s="10" t="s">
        <v>682</v>
      </c>
      <c r="F1998" s="136">
        <f>F979</f>
        <v>6853000</v>
      </c>
      <c r="G1998" s="136">
        <f t="shared" ref="G1998:L1998" si="358">G979</f>
        <v>0</v>
      </c>
      <c r="H1998" s="136">
        <f t="shared" si="358"/>
        <v>1202000</v>
      </c>
      <c r="I1998" s="136">
        <f t="shared" si="358"/>
        <v>1269600</v>
      </c>
      <c r="J1998" s="136">
        <f t="shared" si="358"/>
        <v>0</v>
      </c>
      <c r="K1998" s="136">
        <f t="shared" si="358"/>
        <v>9324600</v>
      </c>
      <c r="L1998" s="136">
        <f t="shared" si="358"/>
        <v>9451000</v>
      </c>
      <c r="M1998" s="136">
        <f t="shared" si="348"/>
        <v>2598000</v>
      </c>
      <c r="N1998" s="157">
        <f t="shared" si="349"/>
        <v>0.37910404202539033</v>
      </c>
      <c r="O1998" s="136">
        <f t="shared" si="350"/>
        <v>126400</v>
      </c>
      <c r="P1998" s="157">
        <f t="shared" si="351"/>
        <v>1.3555541256461403E-2</v>
      </c>
    </row>
    <row r="1999" spans="5:18">
      <c r="E1999" s="147"/>
      <c r="F1999" s="135"/>
      <c r="G1999" s="135"/>
      <c r="H1999" s="135"/>
      <c r="I1999" s="135"/>
      <c r="J1999" s="135"/>
      <c r="K1999" s="135"/>
      <c r="M1999" s="135">
        <f t="shared" si="348"/>
        <v>0</v>
      </c>
      <c r="N1999" s="157"/>
      <c r="O1999" s="135">
        <f t="shared" si="350"/>
        <v>0</v>
      </c>
      <c r="P1999" s="157"/>
    </row>
    <row r="2000" spans="5:18">
      <c r="E2000" s="10" t="s">
        <v>684</v>
      </c>
      <c r="F2000" s="136">
        <f>F1039</f>
        <v>1367700</v>
      </c>
      <c r="G2000" s="136">
        <f t="shared" ref="G2000:L2000" si="359">G1039</f>
        <v>0</v>
      </c>
      <c r="H2000" s="136">
        <f t="shared" si="359"/>
        <v>0</v>
      </c>
      <c r="I2000" s="136">
        <f t="shared" si="359"/>
        <v>14700</v>
      </c>
      <c r="J2000" s="136">
        <f t="shared" si="359"/>
        <v>0</v>
      </c>
      <c r="K2000" s="136">
        <f t="shared" si="359"/>
        <v>1382400</v>
      </c>
      <c r="L2000" s="136">
        <f t="shared" si="359"/>
        <v>1378400</v>
      </c>
      <c r="M2000" s="136">
        <f t="shared" si="348"/>
        <v>10700</v>
      </c>
      <c r="N2000" s="157">
        <f t="shared" si="349"/>
        <v>7.8233530745046437E-3</v>
      </c>
      <c r="O2000" s="136">
        <f t="shared" si="350"/>
        <v>-4000</v>
      </c>
      <c r="P2000" s="157">
        <f t="shared" si="351"/>
        <v>-2.8935185185185184E-3</v>
      </c>
    </row>
    <row r="2001" spans="5:16">
      <c r="E2001" s="10" t="s">
        <v>685</v>
      </c>
      <c r="F2001" s="136">
        <f>F1129</f>
        <v>3622320</v>
      </c>
      <c r="G2001" s="136">
        <f t="shared" ref="G2001:L2001" si="360">G1129</f>
        <v>0</v>
      </c>
      <c r="H2001" s="136">
        <f t="shared" si="360"/>
        <v>-21486</v>
      </c>
      <c r="I2001" s="136">
        <f t="shared" si="360"/>
        <v>161850</v>
      </c>
      <c r="J2001" s="136">
        <f t="shared" si="360"/>
        <v>0</v>
      </c>
      <c r="K2001" s="136">
        <f t="shared" si="360"/>
        <v>3762684</v>
      </c>
      <c r="L2001" s="136">
        <f t="shared" si="360"/>
        <v>4094886</v>
      </c>
      <c r="M2001" s="136">
        <f t="shared" si="348"/>
        <v>472566</v>
      </c>
      <c r="N2001" s="157">
        <f t="shared" si="349"/>
        <v>0.13045948452925196</v>
      </c>
      <c r="O2001" s="136">
        <f t="shared" si="350"/>
        <v>332202</v>
      </c>
      <c r="P2001" s="157">
        <f t="shared" si="351"/>
        <v>8.8288572731592657E-2</v>
      </c>
    </row>
    <row r="2002" spans="5:16">
      <c r="E2002" s="147" t="s">
        <v>689</v>
      </c>
      <c r="F2002" s="136">
        <f>F1250</f>
        <v>9600</v>
      </c>
      <c r="G2002" s="136">
        <f t="shared" ref="G2002:L2002" si="361">G1250</f>
        <v>0</v>
      </c>
      <c r="H2002" s="136">
        <f t="shared" si="361"/>
        <v>0</v>
      </c>
      <c r="I2002" s="136">
        <f t="shared" si="361"/>
        <v>0</v>
      </c>
      <c r="J2002" s="136">
        <f t="shared" si="361"/>
        <v>0</v>
      </c>
      <c r="K2002" s="136">
        <f t="shared" si="361"/>
        <v>9600</v>
      </c>
      <c r="L2002" s="136">
        <f t="shared" si="361"/>
        <v>12100</v>
      </c>
      <c r="M2002" s="136">
        <f t="shared" si="348"/>
        <v>2500</v>
      </c>
      <c r="N2002" s="157">
        <f t="shared" si="349"/>
        <v>0.26041666666666669</v>
      </c>
      <c r="O2002" s="136">
        <f t="shared" si="350"/>
        <v>2500</v>
      </c>
      <c r="P2002" s="157">
        <f t="shared" si="351"/>
        <v>0.26041666666666669</v>
      </c>
    </row>
    <row r="2003" spans="5:16">
      <c r="E2003" s="147" t="s">
        <v>691</v>
      </c>
      <c r="F2003" s="136">
        <f>F1273</f>
        <v>20000</v>
      </c>
      <c r="G2003" s="136">
        <f t="shared" ref="G2003:L2003" si="362">G1273</f>
        <v>0</v>
      </c>
      <c r="H2003" s="136">
        <f t="shared" si="362"/>
        <v>0</v>
      </c>
      <c r="I2003" s="136">
        <f t="shared" si="362"/>
        <v>0</v>
      </c>
      <c r="J2003" s="136">
        <f t="shared" si="362"/>
        <v>0</v>
      </c>
      <c r="K2003" s="136">
        <f t="shared" si="362"/>
        <v>20000</v>
      </c>
      <c r="L2003" s="136">
        <f t="shared" si="362"/>
        <v>23000</v>
      </c>
      <c r="M2003" s="136">
        <f t="shared" si="348"/>
        <v>3000</v>
      </c>
      <c r="N2003" s="157">
        <f t="shared" si="349"/>
        <v>0.15</v>
      </c>
      <c r="O2003" s="136">
        <f t="shared" si="350"/>
        <v>3000</v>
      </c>
      <c r="P2003" s="157">
        <f t="shared" si="351"/>
        <v>0.15</v>
      </c>
    </row>
    <row r="2004" spans="5:16">
      <c r="E2004" s="147" t="s">
        <v>166</v>
      </c>
      <c r="F2004" s="136">
        <f>F1304</f>
        <v>483330</v>
      </c>
      <c r="G2004" s="136">
        <f t="shared" ref="G2004:L2004" si="363">G1304</f>
        <v>0</v>
      </c>
      <c r="H2004" s="136">
        <f t="shared" si="363"/>
        <v>16160</v>
      </c>
      <c r="I2004" s="136">
        <f t="shared" si="363"/>
        <v>13800</v>
      </c>
      <c r="J2004" s="136">
        <f t="shared" si="363"/>
        <v>0</v>
      </c>
      <c r="K2004" s="136">
        <f t="shared" si="363"/>
        <v>513290</v>
      </c>
      <c r="L2004" s="136">
        <f t="shared" si="363"/>
        <v>579130</v>
      </c>
      <c r="M2004" s="136">
        <f t="shared" si="348"/>
        <v>95800</v>
      </c>
      <c r="N2004" s="157">
        <f t="shared" si="349"/>
        <v>0.19820826350526555</v>
      </c>
      <c r="O2004" s="136">
        <f t="shared" si="350"/>
        <v>65840</v>
      </c>
      <c r="P2004" s="157">
        <f t="shared" si="351"/>
        <v>0.12827056829472619</v>
      </c>
    </row>
    <row r="2005" spans="5:16">
      <c r="E2005" s="147" t="s">
        <v>349</v>
      </c>
      <c r="F2005" s="136">
        <f>F1362</f>
        <v>4483100</v>
      </c>
      <c r="G2005" s="136">
        <f t="shared" ref="G2005:L2005" si="364">G1362</f>
        <v>0</v>
      </c>
      <c r="H2005" s="136">
        <f t="shared" si="364"/>
        <v>-429840</v>
      </c>
      <c r="I2005" s="136">
        <f t="shared" si="364"/>
        <v>-446290</v>
      </c>
      <c r="J2005" s="136">
        <f t="shared" si="364"/>
        <v>0</v>
      </c>
      <c r="K2005" s="136">
        <f t="shared" si="364"/>
        <v>3606970</v>
      </c>
      <c r="L2005" s="136">
        <f t="shared" si="364"/>
        <v>4708500</v>
      </c>
      <c r="M2005" s="136">
        <f t="shared" si="348"/>
        <v>225400</v>
      </c>
      <c r="N2005" s="157">
        <f t="shared" si="349"/>
        <v>5.0277709620575047E-2</v>
      </c>
      <c r="O2005" s="136">
        <f t="shared" si="350"/>
        <v>1101530</v>
      </c>
      <c r="P2005" s="157">
        <f t="shared" si="351"/>
        <v>0.30538928796191817</v>
      </c>
    </row>
    <row r="2006" spans="5:16">
      <c r="E2006" s="147" t="s">
        <v>173</v>
      </c>
      <c r="F2006" s="136">
        <f>F1447</f>
        <v>336903</v>
      </c>
      <c r="G2006" s="136">
        <f t="shared" ref="G2006:L2006" si="365">G1447</f>
        <v>0</v>
      </c>
      <c r="H2006" s="136">
        <f t="shared" si="365"/>
        <v>7719</v>
      </c>
      <c r="I2006" s="136">
        <f t="shared" si="365"/>
        <v>11120</v>
      </c>
      <c r="J2006" s="136">
        <f t="shared" si="365"/>
        <v>0</v>
      </c>
      <c r="K2006" s="136">
        <f t="shared" si="365"/>
        <v>355742</v>
      </c>
      <c r="L2006" s="136">
        <f t="shared" si="365"/>
        <v>337676</v>
      </c>
      <c r="M2006" s="136">
        <f t="shared" si="348"/>
        <v>773</v>
      </c>
      <c r="N2006" s="157">
        <f t="shared" si="349"/>
        <v>2.294428960264527E-3</v>
      </c>
      <c r="O2006" s="136">
        <f t="shared" si="350"/>
        <v>-18066</v>
      </c>
      <c r="P2006" s="157">
        <f t="shared" si="351"/>
        <v>-5.0783995142547125E-2</v>
      </c>
    </row>
    <row r="2007" spans="5:16">
      <c r="E2007" s="147" t="s">
        <v>174</v>
      </c>
      <c r="F2007" s="136">
        <f>F1498</f>
        <v>997575</v>
      </c>
      <c r="G2007" s="136">
        <f t="shared" ref="G2007:L2007" si="366">G1498</f>
        <v>0</v>
      </c>
      <c r="H2007" s="136">
        <f t="shared" si="366"/>
        <v>37780</v>
      </c>
      <c r="I2007" s="136">
        <f t="shared" si="366"/>
        <v>175750</v>
      </c>
      <c r="J2007" s="136">
        <f t="shared" si="366"/>
        <v>0</v>
      </c>
      <c r="K2007" s="136">
        <f t="shared" si="366"/>
        <v>1211105</v>
      </c>
      <c r="L2007" s="136">
        <f t="shared" si="366"/>
        <v>1110625</v>
      </c>
      <c r="M2007" s="136">
        <f t="shared" si="348"/>
        <v>113050</v>
      </c>
      <c r="N2007" s="157">
        <f t="shared" si="349"/>
        <v>0.11332481267072651</v>
      </c>
      <c r="O2007" s="136">
        <f t="shared" si="350"/>
        <v>-100480</v>
      </c>
      <c r="P2007" s="157">
        <f t="shared" si="351"/>
        <v>-8.2965556248219607E-2</v>
      </c>
    </row>
    <row r="2008" spans="5:16">
      <c r="E2008" s="147" t="s">
        <v>175</v>
      </c>
      <c r="F2008" s="136">
        <f>F1571</f>
        <v>862275</v>
      </c>
      <c r="G2008" s="136">
        <f t="shared" ref="G2008:L2008" si="367">G1571</f>
        <v>0</v>
      </c>
      <c r="H2008" s="136">
        <f t="shared" si="367"/>
        <v>22512</v>
      </c>
      <c r="I2008" s="136">
        <f t="shared" si="367"/>
        <v>88257</v>
      </c>
      <c r="J2008" s="136">
        <f t="shared" si="367"/>
        <v>0</v>
      </c>
      <c r="K2008" s="136">
        <f t="shared" si="367"/>
        <v>973044</v>
      </c>
      <c r="L2008" s="136">
        <f t="shared" si="367"/>
        <v>1001729</v>
      </c>
      <c r="M2008" s="136">
        <f t="shared" si="348"/>
        <v>139454</v>
      </c>
      <c r="N2008" s="157">
        <f t="shared" si="349"/>
        <v>0.16172798701110436</v>
      </c>
      <c r="O2008" s="136">
        <f t="shared" si="350"/>
        <v>28685</v>
      </c>
      <c r="P2008" s="157">
        <f t="shared" si="351"/>
        <v>2.9479653540847073E-2</v>
      </c>
    </row>
    <row r="2009" spans="5:16">
      <c r="E2009" s="147" t="s">
        <v>176</v>
      </c>
      <c r="F2009" s="136">
        <f>F1634</f>
        <v>772655</v>
      </c>
      <c r="G2009" s="136">
        <f t="shared" ref="G2009:L2009" si="368">G1634</f>
        <v>0</v>
      </c>
      <c r="H2009" s="136">
        <f t="shared" si="368"/>
        <v>27560</v>
      </c>
      <c r="I2009" s="136">
        <f t="shared" si="368"/>
        <v>25100</v>
      </c>
      <c r="J2009" s="136">
        <f t="shared" si="368"/>
        <v>0</v>
      </c>
      <c r="K2009" s="136">
        <f t="shared" si="368"/>
        <v>825315</v>
      </c>
      <c r="L2009" s="136">
        <f t="shared" si="368"/>
        <v>818220</v>
      </c>
      <c r="M2009" s="136">
        <f t="shared" si="348"/>
        <v>45565</v>
      </c>
      <c r="N2009" s="157">
        <f t="shared" si="349"/>
        <v>5.8971986203415497E-2</v>
      </c>
      <c r="O2009" s="136">
        <f t="shared" si="350"/>
        <v>-7095</v>
      </c>
      <c r="P2009" s="157">
        <f t="shared" si="351"/>
        <v>-8.5967176169099071E-3</v>
      </c>
    </row>
    <row r="2010" spans="5:16">
      <c r="E2010" s="147" t="s">
        <v>177</v>
      </c>
      <c r="F2010" s="136">
        <f>F1710</f>
        <v>268940</v>
      </c>
      <c r="G2010" s="136">
        <f t="shared" ref="G2010:L2010" si="369">G1710</f>
        <v>0</v>
      </c>
      <c r="H2010" s="136">
        <f t="shared" si="369"/>
        <v>8800</v>
      </c>
      <c r="I2010" s="136">
        <f t="shared" si="369"/>
        <v>-12556</v>
      </c>
      <c r="J2010" s="136">
        <f t="shared" si="369"/>
        <v>0</v>
      </c>
      <c r="K2010" s="136">
        <f t="shared" si="369"/>
        <v>265184</v>
      </c>
      <c r="L2010" s="136">
        <f t="shared" si="369"/>
        <v>297580</v>
      </c>
      <c r="M2010" s="136">
        <f t="shared" si="348"/>
        <v>28640</v>
      </c>
      <c r="N2010" s="157">
        <f t="shared" si="349"/>
        <v>0.10649215438387745</v>
      </c>
      <c r="O2010" s="136">
        <f t="shared" si="350"/>
        <v>32396</v>
      </c>
      <c r="P2010" s="157">
        <f t="shared" si="351"/>
        <v>0.12216423313623748</v>
      </c>
    </row>
    <row r="2011" spans="5:16">
      <c r="E2011" s="147" t="s">
        <v>178</v>
      </c>
      <c r="F2011" s="136">
        <f>F1765</f>
        <v>1525863</v>
      </c>
      <c r="G2011" s="136">
        <f t="shared" ref="G2011:L2011" si="370">G1765</f>
        <v>0</v>
      </c>
      <c r="H2011" s="136">
        <f t="shared" si="370"/>
        <v>152000</v>
      </c>
      <c r="I2011" s="136">
        <f t="shared" si="370"/>
        <v>70135</v>
      </c>
      <c r="J2011" s="136">
        <f t="shared" si="370"/>
        <v>0</v>
      </c>
      <c r="K2011" s="136">
        <f t="shared" si="370"/>
        <v>1747998</v>
      </c>
      <c r="L2011" s="136">
        <f t="shared" si="370"/>
        <v>1751125</v>
      </c>
      <c r="M2011" s="136">
        <f t="shared" si="348"/>
        <v>225262</v>
      </c>
      <c r="N2011" s="157">
        <f t="shared" si="349"/>
        <v>0.14762924325447305</v>
      </c>
      <c r="O2011" s="136">
        <f t="shared" si="350"/>
        <v>3127</v>
      </c>
      <c r="P2011" s="157">
        <f t="shared" si="351"/>
        <v>1.7889036486311769E-3</v>
      </c>
    </row>
    <row r="2012" spans="5:16">
      <c r="E2012" s="146" t="s">
        <v>713</v>
      </c>
      <c r="F2012" s="123">
        <f t="shared" ref="F2012" si="371">SUM(F1990:F2011)</f>
        <v>88830470</v>
      </c>
      <c r="G2012" s="123">
        <f t="shared" ref="G2012:L2012" si="372">SUM(G1990:G2011)</f>
        <v>0</v>
      </c>
      <c r="H2012" s="123">
        <f t="shared" si="372"/>
        <v>4865925</v>
      </c>
      <c r="I2012" s="123">
        <f t="shared" si="372"/>
        <v>4962164</v>
      </c>
      <c r="J2012" s="123">
        <f t="shared" si="372"/>
        <v>0</v>
      </c>
      <c r="K2012" s="123">
        <f t="shared" si="372"/>
        <v>98658559</v>
      </c>
      <c r="L2012" s="123">
        <f t="shared" si="372"/>
        <v>95024089</v>
      </c>
      <c r="M2012" s="123">
        <f t="shared" si="348"/>
        <v>6193619</v>
      </c>
      <c r="N2012" s="160">
        <f t="shared" si="349"/>
        <v>6.9724037258836968E-2</v>
      </c>
      <c r="O2012" s="123">
        <f t="shared" si="350"/>
        <v>-3634470</v>
      </c>
      <c r="P2012" s="160">
        <f t="shared" si="351"/>
        <v>-3.683887172931443E-2</v>
      </c>
    </row>
    <row r="2013" spans="5:16">
      <c r="F2013" s="155">
        <f ca="1">F2012-F1853</f>
        <v>0</v>
      </c>
      <c r="G2013" s="155">
        <f t="shared" ref="G2013:L2013" ca="1" si="373">G2012-G1853</f>
        <v>0</v>
      </c>
      <c r="H2013" s="155">
        <f t="shared" ca="1" si="373"/>
        <v>0</v>
      </c>
      <c r="I2013" s="155">
        <f t="shared" ca="1" si="373"/>
        <v>0</v>
      </c>
      <c r="J2013" s="155">
        <f t="shared" ca="1" si="373"/>
        <v>0</v>
      </c>
      <c r="K2013" s="155">
        <f t="shared" ca="1" si="373"/>
        <v>0</v>
      </c>
      <c r="L2013" s="155">
        <f t="shared" ca="1" si="373"/>
        <v>0</v>
      </c>
      <c r="M2013" s="155"/>
      <c r="N2013" s="162"/>
      <c r="O2013" s="155"/>
      <c r="P2013" s="162"/>
    </row>
    <row r="2014" spans="5:16">
      <c r="I2014" s="77"/>
      <c r="L2014" s="77"/>
      <c r="M2014" s="77"/>
      <c r="N2014" s="162"/>
      <c r="O2014" s="77"/>
      <c r="P2014" s="162"/>
    </row>
    <row r="2015" spans="5:16">
      <c r="I2015" s="77"/>
      <c r="L2015" s="77"/>
      <c r="M2015" s="77"/>
      <c r="N2015" s="162"/>
      <c r="O2015" s="77"/>
      <c r="P2015" s="162"/>
    </row>
    <row r="2016" spans="5:16">
      <c r="I2016" s="77"/>
      <c r="L2016" s="77"/>
      <c r="M2016" s="605"/>
      <c r="N2016" s="162"/>
      <c r="O2016" s="605"/>
      <c r="P2016" s="162"/>
    </row>
    <row r="2017" spans="9:16">
      <c r="I2017" s="77"/>
      <c r="L2017" s="77"/>
      <c r="M2017" s="605"/>
      <c r="N2017" s="162"/>
      <c r="O2017" s="605"/>
      <c r="P2017" s="162"/>
    </row>
    <row r="2018" spans="9:16">
      <c r="I2018" s="77"/>
      <c r="L2018" s="77"/>
      <c r="M2018" s="605"/>
      <c r="N2018" s="162"/>
      <c r="O2018" s="605"/>
      <c r="P2018" s="162"/>
    </row>
    <row r="2019" spans="9:16">
      <c r="I2019" s="77"/>
      <c r="L2019" s="77"/>
      <c r="M2019" s="605"/>
      <c r="N2019" s="162"/>
      <c r="O2019" s="605"/>
      <c r="P2019" s="162"/>
    </row>
    <row r="2020" spans="9:16">
      <c r="I2020" s="77"/>
      <c r="L2020" s="77"/>
      <c r="M2020" s="605"/>
      <c r="N2020" s="162"/>
      <c r="O2020" s="605"/>
      <c r="P2020" s="162"/>
    </row>
    <row r="2021" spans="9:16">
      <c r="I2021" s="77"/>
      <c r="L2021" s="77"/>
      <c r="M2021" s="605"/>
      <c r="N2021" s="162"/>
      <c r="O2021" s="605"/>
      <c r="P2021" s="162"/>
    </row>
    <row r="2022" spans="9:16">
      <c r="I2022" s="77"/>
      <c r="L2022" s="77"/>
      <c r="M2022" s="605"/>
      <c r="N2022" s="162"/>
      <c r="O2022" s="605"/>
      <c r="P2022" s="162"/>
    </row>
    <row r="2023" spans="9:16">
      <c r="I2023" s="77"/>
      <c r="L2023" s="77"/>
      <c r="M2023" s="605"/>
      <c r="N2023" s="162"/>
      <c r="O2023" s="605"/>
      <c r="P2023" s="162"/>
    </row>
    <row r="2024" spans="9:16">
      <c r="I2024" s="77"/>
      <c r="K2024" s="77">
        <f t="shared" ref="K2024:K2035" si="374">F2024+G2024+H2024+J2024+I2024</f>
        <v>0</v>
      </c>
      <c r="L2024" s="135">
        <v>0</v>
      </c>
      <c r="M2024" s="605"/>
      <c r="N2024" s="162"/>
      <c r="O2024" s="605"/>
      <c r="P2024" s="162"/>
    </row>
    <row r="2025" spans="9:16">
      <c r="I2025" s="77"/>
      <c r="K2025" s="77">
        <f t="shared" si="374"/>
        <v>0</v>
      </c>
      <c r="L2025" s="135">
        <v>0</v>
      </c>
      <c r="M2025" s="605"/>
      <c r="N2025" s="162"/>
      <c r="O2025" s="605"/>
      <c r="P2025" s="162"/>
    </row>
    <row r="2026" spans="9:16">
      <c r="I2026" s="77"/>
      <c r="K2026" s="77">
        <f t="shared" si="374"/>
        <v>0</v>
      </c>
      <c r="L2026" s="135">
        <v>0</v>
      </c>
      <c r="M2026" s="605"/>
      <c r="N2026" s="162"/>
      <c r="O2026" s="605"/>
      <c r="P2026" s="162"/>
    </row>
    <row r="2027" spans="9:16">
      <c r="I2027" s="77"/>
      <c r="K2027" s="77">
        <f t="shared" si="374"/>
        <v>0</v>
      </c>
      <c r="L2027" s="135">
        <v>0</v>
      </c>
      <c r="M2027" s="605"/>
      <c r="N2027" s="162"/>
      <c r="O2027" s="605"/>
      <c r="P2027" s="162"/>
    </row>
    <row r="2028" spans="9:16">
      <c r="I2028" s="77"/>
      <c r="K2028" s="77">
        <f t="shared" si="374"/>
        <v>0</v>
      </c>
      <c r="L2028" s="135">
        <v>0</v>
      </c>
      <c r="M2028" s="605"/>
      <c r="N2028" s="162"/>
      <c r="O2028" s="605"/>
      <c r="P2028" s="162"/>
    </row>
    <row r="2029" spans="9:16">
      <c r="I2029" s="77"/>
      <c r="K2029" s="77">
        <f t="shared" si="374"/>
        <v>0</v>
      </c>
      <c r="L2029" s="135">
        <v>0</v>
      </c>
      <c r="M2029" s="605"/>
      <c r="N2029" s="162"/>
      <c r="O2029" s="605"/>
      <c r="P2029" s="162"/>
    </row>
    <row r="2030" spans="9:16">
      <c r="I2030" s="77"/>
      <c r="K2030" s="77">
        <f t="shared" si="374"/>
        <v>0</v>
      </c>
      <c r="L2030" s="135">
        <v>0</v>
      </c>
      <c r="M2030" s="605"/>
      <c r="N2030" s="162"/>
      <c r="O2030" s="605"/>
      <c r="P2030" s="162"/>
    </row>
    <row r="2031" spans="9:16">
      <c r="I2031" s="77"/>
      <c r="K2031" s="77">
        <f t="shared" si="374"/>
        <v>0</v>
      </c>
      <c r="L2031" s="135">
        <v>0</v>
      </c>
      <c r="M2031" s="605"/>
      <c r="N2031" s="162"/>
      <c r="O2031" s="605"/>
      <c r="P2031" s="162"/>
    </row>
    <row r="2032" spans="9:16">
      <c r="I2032" s="77"/>
      <c r="K2032" s="77">
        <f t="shared" si="374"/>
        <v>0</v>
      </c>
      <c r="L2032" s="135">
        <v>0</v>
      </c>
      <c r="M2032" s="605"/>
      <c r="N2032" s="162"/>
      <c r="O2032" s="605"/>
      <c r="P2032" s="162"/>
    </row>
    <row r="2033" spans="9:16">
      <c r="I2033" s="77"/>
      <c r="K2033" s="77">
        <f t="shared" si="374"/>
        <v>0</v>
      </c>
      <c r="L2033" s="135">
        <v>0</v>
      </c>
      <c r="M2033" s="605"/>
      <c r="N2033" s="162"/>
      <c r="O2033" s="605"/>
      <c r="P2033" s="162"/>
    </row>
    <row r="2034" spans="9:16">
      <c r="I2034" s="77"/>
      <c r="K2034" s="77">
        <f t="shared" si="374"/>
        <v>0</v>
      </c>
      <c r="L2034" s="135">
        <v>0</v>
      </c>
      <c r="M2034" s="605"/>
      <c r="N2034" s="162"/>
      <c r="O2034" s="605"/>
      <c r="P2034" s="162"/>
    </row>
    <row r="2035" spans="9:16">
      <c r="I2035" s="77"/>
      <c r="K2035" s="77">
        <f t="shared" si="374"/>
        <v>0</v>
      </c>
      <c r="L2035" s="135">
        <v>0</v>
      </c>
      <c r="M2035" s="605"/>
      <c r="N2035" s="162"/>
      <c r="O2035" s="605"/>
      <c r="P2035" s="162"/>
    </row>
    <row r="2036" spans="9:16">
      <c r="I2036" s="77"/>
      <c r="K2036" s="77">
        <f t="shared" ref="K2036:K2061" si="375">F2036+G2036+H2036+J2036+I2036</f>
        <v>0</v>
      </c>
      <c r="L2036" s="135">
        <v>0</v>
      </c>
      <c r="M2036" s="605"/>
      <c r="N2036" s="162"/>
      <c r="O2036" s="605"/>
      <c r="P2036" s="162"/>
    </row>
    <row r="2037" spans="9:16">
      <c r="I2037" s="77"/>
      <c r="K2037" s="77">
        <f t="shared" si="375"/>
        <v>0</v>
      </c>
      <c r="L2037" s="135">
        <v>0</v>
      </c>
      <c r="M2037" s="605"/>
      <c r="N2037" s="162"/>
      <c r="O2037" s="605"/>
      <c r="P2037" s="162"/>
    </row>
    <row r="2038" spans="9:16">
      <c r="I2038" s="77"/>
      <c r="K2038" s="77">
        <f t="shared" si="375"/>
        <v>0</v>
      </c>
      <c r="L2038" s="135">
        <v>0</v>
      </c>
      <c r="M2038" s="605"/>
      <c r="N2038" s="162"/>
      <c r="O2038" s="605"/>
      <c r="P2038" s="162"/>
    </row>
    <row r="2039" spans="9:16">
      <c r="I2039" s="77"/>
      <c r="K2039" s="77">
        <f t="shared" si="375"/>
        <v>0</v>
      </c>
      <c r="L2039" s="135">
        <v>0</v>
      </c>
      <c r="M2039" s="605"/>
      <c r="N2039" s="162"/>
      <c r="O2039" s="605"/>
      <c r="P2039" s="162"/>
    </row>
    <row r="2040" spans="9:16">
      <c r="I2040" s="77"/>
      <c r="K2040" s="77">
        <f t="shared" si="375"/>
        <v>0</v>
      </c>
      <c r="L2040" s="135">
        <v>0</v>
      </c>
      <c r="M2040" s="605"/>
      <c r="N2040" s="162"/>
      <c r="O2040" s="605"/>
      <c r="P2040" s="162"/>
    </row>
    <row r="2041" spans="9:16">
      <c r="I2041" s="77"/>
      <c r="K2041" s="77">
        <f t="shared" si="375"/>
        <v>0</v>
      </c>
      <c r="L2041" s="135">
        <v>0</v>
      </c>
      <c r="M2041" s="605"/>
      <c r="N2041" s="162"/>
      <c r="O2041" s="605"/>
      <c r="P2041" s="162"/>
    </row>
    <row r="2042" spans="9:16">
      <c r="I2042" s="77"/>
      <c r="K2042" s="77">
        <f t="shared" si="375"/>
        <v>0</v>
      </c>
      <c r="L2042" s="135">
        <v>0</v>
      </c>
      <c r="M2042" s="605"/>
      <c r="N2042" s="162"/>
      <c r="O2042" s="605"/>
      <c r="P2042" s="162"/>
    </row>
    <row r="2043" spans="9:16">
      <c r="I2043" s="77"/>
      <c r="K2043" s="77">
        <f t="shared" si="375"/>
        <v>0</v>
      </c>
      <c r="L2043" s="135">
        <v>0</v>
      </c>
      <c r="M2043" s="605"/>
      <c r="N2043" s="162"/>
      <c r="O2043" s="605"/>
      <c r="P2043" s="162"/>
    </row>
    <row r="2044" spans="9:16">
      <c r="I2044" s="77"/>
      <c r="K2044" s="77">
        <f t="shared" si="375"/>
        <v>0</v>
      </c>
      <c r="L2044" s="135">
        <v>0</v>
      </c>
      <c r="M2044" s="605"/>
      <c r="N2044" s="162"/>
      <c r="O2044" s="605"/>
      <c r="P2044" s="162"/>
    </row>
    <row r="2045" spans="9:16">
      <c r="I2045" s="77"/>
      <c r="K2045" s="77">
        <f t="shared" si="375"/>
        <v>0</v>
      </c>
      <c r="L2045" s="135">
        <v>0</v>
      </c>
    </row>
    <row r="2046" spans="9:16">
      <c r="I2046" s="77"/>
      <c r="K2046" s="77">
        <f t="shared" si="375"/>
        <v>0</v>
      </c>
      <c r="L2046" s="135">
        <v>0</v>
      </c>
    </row>
    <row r="2047" spans="9:16">
      <c r="I2047" s="77"/>
      <c r="K2047" s="77">
        <f t="shared" si="375"/>
        <v>0</v>
      </c>
      <c r="L2047" s="135">
        <v>0</v>
      </c>
    </row>
    <row r="2048" spans="9:16">
      <c r="I2048" s="77"/>
      <c r="K2048" s="77">
        <f t="shared" si="375"/>
        <v>0</v>
      </c>
      <c r="L2048" s="135">
        <v>0</v>
      </c>
    </row>
    <row r="2049" spans="9:12">
      <c r="I2049" s="77"/>
      <c r="K2049" s="77">
        <f t="shared" si="375"/>
        <v>0</v>
      </c>
      <c r="L2049" s="135">
        <v>0</v>
      </c>
    </row>
    <row r="2050" spans="9:12">
      <c r="I2050" s="77"/>
      <c r="K2050" s="77">
        <f t="shared" si="375"/>
        <v>0</v>
      </c>
      <c r="L2050" s="135">
        <v>0</v>
      </c>
    </row>
    <row r="2051" spans="9:12">
      <c r="I2051" s="77"/>
      <c r="K2051" s="77">
        <f t="shared" si="375"/>
        <v>0</v>
      </c>
      <c r="L2051" s="135">
        <v>0</v>
      </c>
    </row>
    <row r="2052" spans="9:12">
      <c r="I2052" s="77"/>
      <c r="K2052" s="77">
        <f t="shared" si="375"/>
        <v>0</v>
      </c>
      <c r="L2052" s="135">
        <v>0</v>
      </c>
    </row>
    <row r="2053" spans="9:12">
      <c r="I2053" s="77"/>
      <c r="K2053" s="77">
        <f t="shared" si="375"/>
        <v>0</v>
      </c>
      <c r="L2053" s="135">
        <v>0</v>
      </c>
    </row>
    <row r="2054" spans="9:12">
      <c r="I2054" s="77"/>
      <c r="K2054" s="77">
        <f t="shared" si="375"/>
        <v>0</v>
      </c>
      <c r="L2054" s="135">
        <v>0</v>
      </c>
    </row>
    <row r="2055" spans="9:12">
      <c r="I2055" s="77"/>
      <c r="K2055" s="77">
        <f t="shared" si="375"/>
        <v>0</v>
      </c>
      <c r="L2055" s="135">
        <v>0</v>
      </c>
    </row>
    <row r="2056" spans="9:12">
      <c r="I2056" s="77"/>
      <c r="K2056" s="77">
        <f t="shared" si="375"/>
        <v>0</v>
      </c>
      <c r="L2056" s="135">
        <v>0</v>
      </c>
    </row>
    <row r="2057" spans="9:12">
      <c r="K2057" s="77">
        <f t="shared" si="375"/>
        <v>0</v>
      </c>
    </row>
    <row r="2058" spans="9:12">
      <c r="K2058" s="77">
        <f t="shared" si="375"/>
        <v>0</v>
      </c>
    </row>
    <row r="2059" spans="9:12">
      <c r="K2059" s="77">
        <f t="shared" si="375"/>
        <v>0</v>
      </c>
    </row>
    <row r="2060" spans="9:12">
      <c r="K2060" s="77">
        <f t="shared" si="375"/>
        <v>0</v>
      </c>
    </row>
    <row r="2061" spans="9:12">
      <c r="K2061" s="77">
        <f t="shared" si="375"/>
        <v>0</v>
      </c>
    </row>
  </sheetData>
  <autoFilter ref="A4:P2012" xr:uid="{00000000-0001-0000-0900-000000000000}"/>
  <mergeCells count="3">
    <mergeCell ref="F3:K3"/>
    <mergeCell ref="M3:N3"/>
    <mergeCell ref="O3:P3"/>
  </mergeCells>
  <phoneticPr fontId="35" type="noConversion"/>
  <dataValidations disablePrompts="1" count="1">
    <dataValidation type="list" allowBlank="1" showInputMessage="1" showErrorMessage="1" sqref="D14 D18 D21 D34 D37 D40 D42 D50 D53 D55 D58 D61:D63 D968 D592:D595 D598:D600 D603 D605 D611 D651 D1045 D1054 D1064 D1060 D1067 D1075 D1081 D1101 D1105 D1820 D1136 D549 D560:D562 D564:D567 D573 D577 D579:D581 D985 D994 D958 D960 D1162 D1114 D1296 D1121 D1278 D1281 D1283 D1285 D1287 D1322 D1332 D1337 D1340 D1342 D1344 D1346 D1348 D1350 D1388 D1398 D1403 D1406 D1410 D1414 D1416 D1418 D1420 D1422 D1424 D1426 D1428 D1431 D1458 D1468 D1472 D1475 D1477 D1479 D1481 D1483 D1486 D1525 D1534:D1535 D1540 D1544 D1546 D1548 D1552 D1554 D1556 D1558 D1587 D1597 D1601 D1604 D1608 D1610 D1615 D1617 D1619 D1622 D1663 D1677 D1681 D1684:D1685 D1687 D1689 D1691 D1695 D1697 D1725 D1735 D1739 D1742 D1744 D1746 D1750 D1752 D1787 D1797 D1801 D1805:D1806 D1808 D1810 D1812 D1814 D1816 D1818 D66 D80 D90 D95 D100 D102 D111 D115 D117 D122 D127 D132 D137 D142 D147 D152 D191 D217 D221:D226 D230 D237 D241:D252 D254 D282:D284 D286 D378 D387 D393 D395 D407:D408 D410 D425 D428 D433 D439 D537 D543 D554 D613 D617 D645 D647 D162 D166 D195 D200 D205 D214 D256 D258 D264 D271 D275 D300 D305 D326 D339 D350 D362 D374 D445 D450 D1822:D1826 D472 D480 D487 D494 D501 D508 D517 D525 D529 D533 D649 D1507 D1513 D1520 D1503 D1490 D1488 D1560 D1563 D1576 D1580 D1624 D1626 D1639 D1646 D1653 D1658 D1699 D1702 D1715 D1719 D1755 D1757 D1771 D1780 D1289 D1291 D1309 D1313 D1352 D1354 D1369 D1377 D1383 D1433 D1439 D1452 D966 D956 D952 D954 D431 D1110 D1119 D437 D1262:D1263 D870:D880 D997:D1003 D916 D912 D921 D906:D910 D927 D935 D932 D1022 D887 D940 D946 D948 D950 D729 D797 D827 D1016 D667 D889:D898 D839 D845 D843 D864 D858 D852 D847 D1018 D1006:D1012 D833 D703 D991 D642 D157 D279 D47 D1086 D1096 D1091 D398 D435 D441:D443 D1748 D1186 D1190 D1194 D1197 D1205 D1207 D1210 D1212 D1214 D1217 D1219 D1231 D1237 D1242 D1180 D1143 D1147 D1168 D1255 D1258 D1260 D1265 D1032:D1033 D1026:D1028 D900:D904 D962:D964 D414:D419 D113 D105:D107 D93 D84:D88" xr:uid="{94621378-D764-4687-AA29-A6081DD95B26}">
      <formula1>INDIRECT($C14)</formula1>
    </dataValidation>
  </dataValidations>
  <printOptions gridLines="1"/>
  <pageMargins left="0.19685039370078741" right="0.19685039370078741" top="0.47244094488188981" bottom="0.98425196850393704" header="0.31496062992125984" footer="0.31496062992125984"/>
  <pageSetup paperSize="9" scale="75" orientation="portrait" r:id="rId1"/>
  <headerFooter>
    <oddFooter>&amp;C&amp;P/&amp;N</oddFooter>
  </headerFooter>
  <rowBreaks count="1" manualBreakCount="1">
    <brk id="1755"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CBFF7FF-25DE-49A9-BE59-55E3894D8C91}">
          <x14:formula1>
            <xm:f>list1!$A$1:$A$15</xm:f>
          </x14:formula1>
          <xm:sqref>C14 C18 C21 C34 C37 C40 C42 C47 C50 C53 C55 C58 C61:C63 C66 C80 C90 C93 C95 C100 C102 C105:C107 C111 C113 C115 C117 C122 C127 C132 C137 C142 C147 C152 C157 C162 C166 C195 C200 C205 C214 C217 C221:C226 C230 C237 C241:C252 C254 C256 C258 C264 C271 C275 C279 C282:C284 C286 C300 C305 C326 C339 C350 C362 C374 C378 C387 C393 C395 C398 C407:C408 C410 C425 C428 C433 C435 C439 C441:C443 C445 C450 C1822:C1826 C1820 C1818 C1816 C1814 C1812 C1810 C1808 C1805:C1806 C1801 C1797 C1787 C1780 C554 C1771 C1757 C1755 C1752 C1750 C1748 C1715 C1702 C1699 C1697 C1695 C1691 C1681 C1684:C1685 C1687 C1689 C1677 C1658 C1663 C1646 C1653 C1622 C1624 C1626 C1639 C1619 C916 C1617 C1610 C1615 C1597 C1601 C1604 C1608 C1556 C1558 C1560 C1563 C1576 C1580 C1587 C968 C1719 C1725 C1735 C1739 C1742 C1744 C1746 C437 C1296 C1114 C1477 C1064 C1475 C1472 C1468 C1458 C1439 C1452 C1433 C1431 C1428 C1426 C1424 C1479 C1481 C1483 C1486 C1488 C1490 C1503 C1507 C1513 C1520 C1525 C1534:C1535 C1540 C1544 C1546 C1548 C1552 C1554 C431 C1377 C1383 C1388 C1398 C1403 C1406 C1410 C1414 C1416 C1418 C1420 C1422 C1309 C1313 C1322 C1332 C1337 C1340 C1342 C1344 C1346 C1348 C1350 C1352 C1354 C1369 C414:C419 C84:C88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0D6E9-1648-4041-8CF7-F214C7C22930}">
  <sheetPr>
    <tabColor theme="9" tint="0.79998168889431442"/>
  </sheetPr>
  <dimension ref="A1:M30"/>
  <sheetViews>
    <sheetView workbookViewId="0"/>
  </sheetViews>
  <sheetFormatPr defaultColWidth="9.44140625" defaultRowHeight="13.2"/>
  <cols>
    <col min="1" max="1" width="58" style="75" customWidth="1"/>
    <col min="2" max="2" width="12.44140625" style="734" customWidth="1"/>
    <col min="3" max="3" width="10.44140625" style="75" hidden="1" customWidth="1"/>
    <col min="4" max="4" width="0" style="75" hidden="1" customWidth="1"/>
    <col min="5" max="5" width="12.44140625" style="734" hidden="1" customWidth="1"/>
    <col min="6" max="7" width="10.21875" style="75" bestFit="1" customWidth="1"/>
    <col min="8" max="12" width="9.44140625" style="75"/>
    <col min="13" max="13" width="10.21875" style="75" bestFit="1" customWidth="1"/>
    <col min="14" max="16384" width="9.44140625" style="75"/>
  </cols>
  <sheetData>
    <row r="1" spans="1:12" ht="13.8">
      <c r="A1" s="540" t="s">
        <v>1126</v>
      </c>
    </row>
    <row r="2" spans="1:12" ht="13.8">
      <c r="A2" s="540"/>
    </row>
    <row r="3" spans="1:12" ht="26.25" customHeight="1">
      <c r="B3" s="775">
        <v>2022</v>
      </c>
      <c r="C3" s="775"/>
      <c r="D3" s="775"/>
      <c r="E3" s="775"/>
      <c r="F3" s="775"/>
      <c r="G3" s="638">
        <v>2023</v>
      </c>
      <c r="H3" s="758" t="s">
        <v>1212</v>
      </c>
      <c r="I3" s="759"/>
      <c r="J3" s="756" t="s">
        <v>1213</v>
      </c>
      <c r="K3" s="757"/>
    </row>
    <row r="4" spans="1:12" ht="39.6">
      <c r="A4" s="10"/>
      <c r="B4" s="772" t="s">
        <v>667</v>
      </c>
      <c r="C4" s="772" t="s">
        <v>827</v>
      </c>
      <c r="D4" s="772" t="s">
        <v>828</v>
      </c>
      <c r="E4" s="772" t="s">
        <v>1187</v>
      </c>
      <c r="F4" s="774" t="s">
        <v>668</v>
      </c>
      <c r="G4" s="639" t="s">
        <v>1211</v>
      </c>
      <c r="H4" s="640" t="s">
        <v>14</v>
      </c>
      <c r="I4" s="641" t="s">
        <v>743</v>
      </c>
      <c r="J4" s="642" t="s">
        <v>14</v>
      </c>
      <c r="K4" s="643" t="s">
        <v>743</v>
      </c>
    </row>
    <row r="5" spans="1:12">
      <c r="A5" s="14" t="s">
        <v>1127</v>
      </c>
      <c r="B5" s="594">
        <f t="shared" ref="B5" si="0">B6</f>
        <v>90000000</v>
      </c>
      <c r="E5" s="75"/>
      <c r="F5" s="594">
        <f>SUM(B5:D5)</f>
        <v>90000000</v>
      </c>
      <c r="G5" s="594">
        <f t="shared" ref="G5" si="1">G6</f>
        <v>90000000</v>
      </c>
      <c r="H5" s="594">
        <f>G5-B5</f>
        <v>0</v>
      </c>
      <c r="I5" s="163">
        <f>H5/B5</f>
        <v>0</v>
      </c>
      <c r="J5" s="594">
        <f>G5-F5</f>
        <v>0</v>
      </c>
      <c r="K5" s="163">
        <f>J5/F5</f>
        <v>0</v>
      </c>
      <c r="L5" s="535"/>
    </row>
    <row r="6" spans="1:12">
      <c r="A6" s="545" t="s">
        <v>25</v>
      </c>
      <c r="B6" s="596">
        <f>60000000+30000000</f>
        <v>90000000</v>
      </c>
      <c r="E6" s="75"/>
      <c r="F6" s="596">
        <f>SUM(B6:D6)</f>
        <v>90000000</v>
      </c>
      <c r="G6" s="596">
        <f>60000000+30000000</f>
        <v>90000000</v>
      </c>
      <c r="H6" s="596">
        <f t="shared" ref="H6:H17" si="2">G6-B6</f>
        <v>0</v>
      </c>
      <c r="I6" s="308">
        <f t="shared" ref="I6:I17" si="3">H6/B6</f>
        <v>0</v>
      </c>
      <c r="J6" s="596">
        <f t="shared" ref="J6:J17" si="4">G6-F6</f>
        <v>0</v>
      </c>
      <c r="K6" s="308">
        <f t="shared" ref="K6:K17" si="5">J6/F6</f>
        <v>0</v>
      </c>
      <c r="L6" s="595"/>
    </row>
    <row r="7" spans="1:12">
      <c r="A7" s="10"/>
      <c r="B7" s="596"/>
      <c r="E7" s="75"/>
      <c r="F7" s="596"/>
      <c r="G7" s="596"/>
      <c r="H7" s="596"/>
      <c r="I7" s="308"/>
      <c r="J7" s="596"/>
      <c r="K7" s="308"/>
      <c r="L7" s="685"/>
    </row>
    <row r="8" spans="1:12">
      <c r="A8" s="14" t="s">
        <v>1128</v>
      </c>
      <c r="B8" s="594">
        <f>B9</f>
        <v>16209156</v>
      </c>
      <c r="C8" s="18"/>
      <c r="E8" s="75"/>
      <c r="F8" s="594">
        <f>SUM(B8:D8)</f>
        <v>16209156</v>
      </c>
      <c r="G8" s="594">
        <f>G9</f>
        <v>20209156</v>
      </c>
      <c r="H8" s="594">
        <f t="shared" si="2"/>
        <v>4000000</v>
      </c>
      <c r="I8" s="163">
        <f t="shared" si="3"/>
        <v>0.24677410717744958</v>
      </c>
      <c r="J8" s="594">
        <f t="shared" si="4"/>
        <v>4000000</v>
      </c>
      <c r="K8" s="163">
        <f t="shared" si="5"/>
        <v>0.24677410717744958</v>
      </c>
      <c r="L8" s="535"/>
    </row>
    <row r="9" spans="1:12">
      <c r="A9" s="545" t="s">
        <v>25</v>
      </c>
      <c r="B9" s="596">
        <v>16209156</v>
      </c>
      <c r="E9" s="75"/>
      <c r="F9" s="596">
        <f>SUM(B9:D9)</f>
        <v>16209156</v>
      </c>
      <c r="G9" s="596">
        <v>20209156</v>
      </c>
      <c r="H9" s="596">
        <f t="shared" si="2"/>
        <v>4000000</v>
      </c>
      <c r="I9" s="308">
        <f t="shared" si="3"/>
        <v>0.24677410717744958</v>
      </c>
      <c r="J9" s="596">
        <f t="shared" si="4"/>
        <v>4000000</v>
      </c>
      <c r="K9" s="308">
        <f t="shared" si="5"/>
        <v>0.24677410717744958</v>
      </c>
      <c r="L9" s="595"/>
    </row>
    <row r="10" spans="1:12">
      <c r="A10" s="545"/>
      <c r="B10" s="596"/>
      <c r="E10" s="75"/>
      <c r="F10" s="596"/>
      <c r="G10" s="596"/>
      <c r="H10" s="596"/>
      <c r="I10" s="308"/>
      <c r="J10" s="596"/>
      <c r="K10" s="308"/>
      <c r="L10" s="595"/>
    </row>
    <row r="11" spans="1:12">
      <c r="A11" s="535" t="s">
        <v>1129</v>
      </c>
      <c r="B11" s="594">
        <f t="shared" ref="B11" si="6">B12</f>
        <v>7345608</v>
      </c>
      <c r="E11" s="75"/>
      <c r="F11" s="594">
        <f>SUM(B11:D11)</f>
        <v>7345608</v>
      </c>
      <c r="G11" s="594">
        <f t="shared" ref="G11" si="7">G12</f>
        <v>7345608</v>
      </c>
      <c r="H11" s="594">
        <f t="shared" si="2"/>
        <v>0</v>
      </c>
      <c r="I11" s="163">
        <f t="shared" si="3"/>
        <v>0</v>
      </c>
      <c r="J11" s="594">
        <f t="shared" si="4"/>
        <v>0</v>
      </c>
      <c r="K11" s="163">
        <f t="shared" si="5"/>
        <v>0</v>
      </c>
      <c r="L11" s="535"/>
    </row>
    <row r="12" spans="1:12">
      <c r="A12" s="595" t="s">
        <v>25</v>
      </c>
      <c r="B12" s="596">
        <v>7345608</v>
      </c>
      <c r="E12" s="75"/>
      <c r="F12" s="596">
        <f>SUM(B12:D12)</f>
        <v>7345608</v>
      </c>
      <c r="G12" s="596">
        <v>7345608</v>
      </c>
      <c r="H12" s="596">
        <f t="shared" si="2"/>
        <v>0</v>
      </c>
      <c r="I12" s="308">
        <f t="shared" si="3"/>
        <v>0</v>
      </c>
      <c r="J12" s="596">
        <f t="shared" si="4"/>
        <v>0</v>
      </c>
      <c r="K12" s="308">
        <f t="shared" si="5"/>
        <v>0</v>
      </c>
      <c r="L12" s="595"/>
    </row>
    <row r="13" spans="1:12">
      <c r="A13" s="595"/>
      <c r="B13" s="596"/>
      <c r="E13" s="75"/>
      <c r="F13" s="596"/>
      <c r="G13" s="596"/>
      <c r="H13" s="596"/>
      <c r="I13" s="308"/>
      <c r="J13" s="596"/>
      <c r="K13" s="308"/>
      <c r="L13" s="595"/>
    </row>
    <row r="14" spans="1:12">
      <c r="A14" s="14" t="s">
        <v>1130</v>
      </c>
      <c r="B14" s="594">
        <f t="shared" ref="B14" si="8">B16</f>
        <v>905270</v>
      </c>
      <c r="E14" s="75"/>
      <c r="F14" s="594">
        <f>SUM(B14:D14)</f>
        <v>905270</v>
      </c>
      <c r="G14" s="594">
        <f t="shared" ref="G14" si="9">G16</f>
        <v>986270</v>
      </c>
      <c r="H14" s="594">
        <f t="shared" si="2"/>
        <v>81000</v>
      </c>
      <c r="I14" s="163">
        <f t="shared" si="3"/>
        <v>8.9476067913440191E-2</v>
      </c>
      <c r="J14" s="594">
        <f t="shared" si="4"/>
        <v>81000</v>
      </c>
      <c r="K14" s="163">
        <f t="shared" si="5"/>
        <v>8.9476067913440191E-2</v>
      </c>
      <c r="L14" s="535"/>
    </row>
    <row r="15" spans="1:12">
      <c r="A15" s="735"/>
      <c r="B15" s="596"/>
      <c r="E15" s="75"/>
      <c r="F15" s="596"/>
      <c r="G15" s="596"/>
      <c r="H15" s="596"/>
      <c r="I15" s="308"/>
      <c r="J15" s="596"/>
      <c r="K15" s="308"/>
      <c r="L15" s="597"/>
    </row>
    <row r="16" spans="1:12">
      <c r="A16" s="736" t="s">
        <v>48</v>
      </c>
      <c r="B16" s="596">
        <f>B17</f>
        <v>905270</v>
      </c>
      <c r="E16" s="75"/>
      <c r="F16" s="596">
        <f>SUM(B16:D16)</f>
        <v>905270</v>
      </c>
      <c r="G16" s="596">
        <f>G17</f>
        <v>986270</v>
      </c>
      <c r="H16" s="596">
        <f t="shared" si="2"/>
        <v>81000</v>
      </c>
      <c r="I16" s="308">
        <f t="shared" si="3"/>
        <v>8.9476067913440191E-2</v>
      </c>
      <c r="J16" s="596">
        <f t="shared" si="4"/>
        <v>81000</v>
      </c>
      <c r="K16" s="308">
        <f t="shared" si="5"/>
        <v>8.9476067913440191E-2</v>
      </c>
      <c r="L16" s="595"/>
    </row>
    <row r="17" spans="1:13">
      <c r="A17" s="735" t="s">
        <v>1131</v>
      </c>
      <c r="B17" s="596">
        <v>905270</v>
      </c>
      <c r="E17" s="75"/>
      <c r="F17" s="596">
        <f>SUM(B17:D17)</f>
        <v>905270</v>
      </c>
      <c r="G17" s="596">
        <v>986270</v>
      </c>
      <c r="H17" s="596">
        <f t="shared" si="2"/>
        <v>81000</v>
      </c>
      <c r="I17" s="308">
        <f t="shared" si="3"/>
        <v>8.9476067913440191E-2</v>
      </c>
      <c r="J17" s="596">
        <f t="shared" si="4"/>
        <v>81000</v>
      </c>
      <c r="K17" s="308">
        <f t="shared" si="5"/>
        <v>8.9476067913440191E-2</v>
      </c>
      <c r="L17" s="597"/>
    </row>
    <row r="18" spans="1:13">
      <c r="A18" s="196"/>
      <c r="B18" s="737"/>
      <c r="E18" s="737"/>
      <c r="L18" s="525"/>
      <c r="M18" s="598"/>
    </row>
    <row r="19" spans="1:13">
      <c r="A19" s="14"/>
      <c r="B19" s="737"/>
      <c r="E19" s="737"/>
    </row>
    <row r="20" spans="1:13">
      <c r="A20" s="14"/>
      <c r="B20" s="737"/>
      <c r="E20" s="737"/>
    </row>
    <row r="30" spans="1:13" ht="15" customHeight="1"/>
  </sheetData>
  <mergeCells count="3">
    <mergeCell ref="B3:F3"/>
    <mergeCell ref="H3:I3"/>
    <mergeCell ref="J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list1</vt:lpstr>
      <vt:lpstr>1 KOONDEELARVE</vt:lpstr>
      <vt:lpstr>2 TULUDE KOOND</vt:lpstr>
      <vt:lpstr>2.1 LK TULUD</vt:lpstr>
      <vt:lpstr>Sheet2</vt:lpstr>
      <vt:lpstr>2.2 OMATULUD</vt:lpstr>
      <vt:lpstr>2.3 TOETUSED</vt:lpstr>
      <vt:lpstr>3 KULUD</vt:lpstr>
      <vt:lpstr>5 FIN TEH</vt:lpstr>
      <vt:lpstr>4 INVEST</vt:lpstr>
      <vt:lpstr>6 RAHAKÄIVE</vt:lpstr>
      <vt:lpstr>7 LIIGENDUS</vt:lpstr>
      <vt:lpstr>Katteallikad</vt:lpstr>
      <vt:lpstr>LINNAMAASTIK</vt:lpstr>
      <vt:lpstr>'1 KOONDEELARVE'!Print_Titles</vt:lpstr>
      <vt:lpstr>'2 TULUDE KOOND'!Print_Titles</vt:lpstr>
      <vt:lpstr>'2.1 LK TULUD'!Print_Titles</vt:lpstr>
      <vt:lpstr>'2.2 OMATULUD'!Print_Titles</vt:lpstr>
      <vt:lpstr>'2.3 TOETUSED'!Print_Titles</vt:lpstr>
      <vt:lpstr>'3 KULUD'!Print_Titles</vt:lpstr>
      <vt:lpstr>v</vt:lpstr>
      <vt:lpstr>V1_ETTEVÕTLUSKESKKOND</vt:lpstr>
      <vt:lpstr>V10_SOTSIAALHOOLEKANNE</vt:lpstr>
      <vt:lpstr>V11_SPORT</vt:lpstr>
      <vt:lpstr>V12_TEHNOVÕRGUD</vt:lpstr>
      <vt:lpstr>V13_TERVISHOID</vt:lpstr>
      <vt:lpstr>V14_JUHTIMINE</vt:lpstr>
      <vt:lpstr>V2_HARIDUS</vt:lpstr>
      <vt:lpstr>V3_KESKKONNAHOID</vt:lpstr>
      <vt:lpstr>V4_KORRAKAITSE</vt:lpstr>
      <vt:lpstr>V5_KULTUUR</vt:lpstr>
      <vt:lpstr>V6_LIIKUVUS</vt:lpstr>
      <vt:lpstr>V7_LINNAMAASTIK</vt:lpstr>
      <vt:lpstr>V8_LINNAPLANEERIMINE</vt:lpstr>
      <vt:lpstr>V9_LINNAVARA</vt:lpstr>
      <vt:lpstr>Valdkond</vt:lpstr>
    </vt:vector>
  </TitlesOfParts>
  <Company>Tallinna Linnakantselei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Maarja Valler</cp:lastModifiedBy>
  <cp:lastPrinted>2022-11-22T14:46:28Z</cp:lastPrinted>
  <dcterms:created xsi:type="dcterms:W3CDTF">2011-11-17T06:19:29Z</dcterms:created>
  <dcterms:modified xsi:type="dcterms:W3CDTF">2022-11-25T12:54:00Z</dcterms:modified>
</cp:coreProperties>
</file>